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4.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5.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peter\Documents\9. PBC Eco Eval\2023 revamp of working examples\"/>
    </mc:Choice>
  </mc:AlternateContent>
  <xr:revisionPtr revIDLastSave="0" documentId="13_ncr:1_{A6E59937-2C51-4085-ABA4-559A6F14A6F0}" xr6:coauthVersionLast="47" xr6:coauthVersionMax="47" xr10:uidLastSave="{00000000-0000-0000-0000-000000000000}"/>
  <bookViews>
    <workbookView xWindow="-110" yWindow="-110" windowWidth="19420" windowHeight="11500" tabRatio="715" xr2:uid="{00000000-000D-0000-FFFF-FFFF00000000}"/>
  </bookViews>
  <sheets>
    <sheet name="Intro &amp; log of testing" sheetId="19" r:id="rId1"/>
    <sheet name="Expected NPV &amp; Common Data" sheetId="9" r:id="rId2"/>
    <sheet name="Mid Case" sheetId="14" r:id="rId3"/>
    <sheet name="Low Case" sheetId="20" r:id="rId4"/>
    <sheet name="High Case" sheetId="21" r:id="rId5"/>
  </sheets>
  <definedNames>
    <definedName name="_xlnm.Print_Area" localSheetId="4">'High Case'!$A$3:$L$759</definedName>
    <definedName name="_xlnm.Print_Area" localSheetId="0">'Intro &amp; log of testing'!$A$1:$S$31</definedName>
    <definedName name="_xlnm.Print_Area" localSheetId="3">'Low Case'!$A$3:$L$759</definedName>
    <definedName name="_xlnm.Print_Area" localSheetId="2">'Mid Case'!$A$3:$L$759</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33" i="20" l="1"/>
  <c r="H433" i="20"/>
  <c r="I433" i="20"/>
  <c r="J433" i="20"/>
  <c r="K433" i="20"/>
  <c r="L433" i="20"/>
  <c r="M433" i="20"/>
  <c r="N433" i="20"/>
  <c r="O433" i="20"/>
  <c r="P433" i="20"/>
  <c r="Q433" i="20"/>
  <c r="R433" i="20"/>
  <c r="S433" i="20"/>
  <c r="T433" i="20"/>
  <c r="U433" i="20"/>
  <c r="V433" i="20"/>
  <c r="W433" i="20"/>
  <c r="X433" i="20"/>
  <c r="Y433" i="20"/>
  <c r="Z433" i="20"/>
  <c r="AA433" i="20"/>
  <c r="AB433" i="20"/>
  <c r="AC433" i="20"/>
  <c r="AD433" i="20"/>
  <c r="F433" i="20"/>
  <c r="K444" i="20"/>
  <c r="L444" i="20"/>
  <c r="M444" i="20"/>
  <c r="N444" i="20"/>
  <c r="O444" i="20"/>
  <c r="P444" i="20"/>
  <c r="Q444" i="20"/>
  <c r="R444" i="20"/>
  <c r="S444" i="20"/>
  <c r="T444" i="20"/>
  <c r="U444" i="20"/>
  <c r="V444" i="20"/>
  <c r="W444" i="20"/>
  <c r="X444" i="20"/>
  <c r="Y444" i="20"/>
  <c r="Z444" i="20"/>
  <c r="AA444" i="20"/>
  <c r="AB444" i="20"/>
  <c r="AC444" i="20"/>
  <c r="AD444" i="20"/>
  <c r="M131" i="20"/>
  <c r="N131" i="20"/>
  <c r="O131" i="20"/>
  <c r="P131" i="20"/>
  <c r="Q131" i="20"/>
  <c r="R131" i="20"/>
  <c r="S131" i="20"/>
  <c r="T131" i="20"/>
  <c r="M132" i="20"/>
  <c r="N132" i="20"/>
  <c r="O132" i="20"/>
  <c r="P132" i="20"/>
  <c r="Q132" i="20"/>
  <c r="R132" i="20"/>
  <c r="S132" i="20"/>
  <c r="T132" i="20"/>
  <c r="L132" i="20"/>
  <c r="L131" i="20"/>
  <c r="H118" i="20"/>
  <c r="I118" i="20"/>
  <c r="J118" i="20"/>
  <c r="K118" i="20"/>
  <c r="L118" i="20"/>
  <c r="M118" i="20"/>
  <c r="N118" i="20"/>
  <c r="O118" i="20"/>
  <c r="P118" i="20"/>
  <c r="H119" i="20"/>
  <c r="I119" i="20"/>
  <c r="J119" i="20"/>
  <c r="K119" i="20"/>
  <c r="L119" i="20"/>
  <c r="M119" i="20"/>
  <c r="N119" i="20"/>
  <c r="O119" i="20"/>
  <c r="P119" i="20"/>
  <c r="H120" i="20"/>
  <c r="I120" i="20"/>
  <c r="J120" i="20"/>
  <c r="K120" i="20"/>
  <c r="L120" i="20"/>
  <c r="M120" i="20"/>
  <c r="N120" i="20"/>
  <c r="O120" i="20"/>
  <c r="P120" i="20"/>
  <c r="H121" i="20"/>
  <c r="I121" i="20"/>
  <c r="J121" i="20"/>
  <c r="K121" i="20"/>
  <c r="L121" i="20"/>
  <c r="M121" i="20"/>
  <c r="N121" i="20"/>
  <c r="O121" i="20"/>
  <c r="P121" i="20"/>
  <c r="G121" i="20"/>
  <c r="G120" i="20"/>
  <c r="G119" i="20"/>
  <c r="G118" i="20"/>
  <c r="F98" i="14"/>
  <c r="G98" i="14"/>
  <c r="H98" i="14"/>
  <c r="I98" i="14"/>
  <c r="J98" i="14"/>
  <c r="K98" i="14"/>
  <c r="L98" i="14"/>
  <c r="M98" i="14"/>
  <c r="N98" i="14"/>
  <c r="O98" i="14"/>
  <c r="P98" i="14"/>
  <c r="Q98" i="14"/>
  <c r="R98" i="14"/>
  <c r="S98" i="14"/>
  <c r="T98" i="14"/>
  <c r="U98" i="14"/>
  <c r="V98" i="14"/>
  <c r="W98" i="14"/>
  <c r="X98" i="14"/>
  <c r="Y98" i="14"/>
  <c r="Z98" i="14"/>
  <c r="AA98" i="14"/>
  <c r="AB98" i="14"/>
  <c r="AC98" i="14"/>
  <c r="AD98" i="14"/>
  <c r="E98" i="14"/>
  <c r="F100" i="14"/>
  <c r="G100" i="14"/>
  <c r="H100" i="14"/>
  <c r="I100" i="14"/>
  <c r="J100" i="14"/>
  <c r="K100" i="14"/>
  <c r="L100" i="14"/>
  <c r="M100" i="14"/>
  <c r="N100" i="14"/>
  <c r="O100" i="14"/>
  <c r="P100" i="14"/>
  <c r="Q100" i="14"/>
  <c r="R100" i="14"/>
  <c r="S100" i="14"/>
  <c r="T100" i="14"/>
  <c r="U100" i="14"/>
  <c r="V100" i="14"/>
  <c r="W100" i="14"/>
  <c r="X100" i="14"/>
  <c r="Y100" i="14"/>
  <c r="Z100" i="14"/>
  <c r="AA100" i="14"/>
  <c r="AB100" i="14"/>
  <c r="AC100" i="14"/>
  <c r="AD100" i="14"/>
  <c r="F101" i="14"/>
  <c r="G101" i="14"/>
  <c r="H101" i="14"/>
  <c r="I101" i="14"/>
  <c r="J101" i="14"/>
  <c r="K101" i="14"/>
  <c r="L101" i="14"/>
  <c r="M101" i="14"/>
  <c r="N101" i="14"/>
  <c r="O101" i="14"/>
  <c r="P101" i="14"/>
  <c r="Q101" i="14"/>
  <c r="R101" i="14"/>
  <c r="S101" i="14"/>
  <c r="T101" i="14"/>
  <c r="U101" i="14"/>
  <c r="V101" i="14"/>
  <c r="W101" i="14"/>
  <c r="X101" i="14"/>
  <c r="Y101" i="14"/>
  <c r="Z101" i="14"/>
  <c r="AA101" i="14"/>
  <c r="AB101" i="14"/>
  <c r="AC101" i="14"/>
  <c r="AD101" i="14"/>
  <c r="F102" i="14"/>
  <c r="G102" i="14"/>
  <c r="H102" i="14"/>
  <c r="I102" i="14"/>
  <c r="J102" i="14"/>
  <c r="K102" i="14"/>
  <c r="L102" i="14"/>
  <c r="M102" i="14"/>
  <c r="N102" i="14"/>
  <c r="O102" i="14"/>
  <c r="P102" i="14"/>
  <c r="Q102" i="14"/>
  <c r="R102" i="14"/>
  <c r="S102" i="14"/>
  <c r="T102" i="14"/>
  <c r="U102" i="14"/>
  <c r="V102" i="14"/>
  <c r="W102" i="14"/>
  <c r="X102" i="14"/>
  <c r="Y102" i="14"/>
  <c r="Z102" i="14"/>
  <c r="AA102" i="14"/>
  <c r="AB102" i="14"/>
  <c r="AC102" i="14"/>
  <c r="AD102" i="14"/>
  <c r="F103" i="14"/>
  <c r="G103" i="14"/>
  <c r="H103" i="14"/>
  <c r="I103" i="14"/>
  <c r="J103" i="14"/>
  <c r="K103" i="14"/>
  <c r="L103" i="14"/>
  <c r="M103" i="14"/>
  <c r="N103" i="14"/>
  <c r="O103" i="14"/>
  <c r="P103" i="14"/>
  <c r="Q103" i="14"/>
  <c r="R103" i="14"/>
  <c r="S103" i="14"/>
  <c r="T103" i="14"/>
  <c r="U103" i="14"/>
  <c r="V103" i="14"/>
  <c r="W103" i="14"/>
  <c r="X103" i="14"/>
  <c r="Y103" i="14"/>
  <c r="Z103" i="14"/>
  <c r="AA103" i="14"/>
  <c r="AB103" i="14"/>
  <c r="AC103" i="14"/>
  <c r="AD103" i="14"/>
  <c r="E103" i="14"/>
  <c r="E102" i="14"/>
  <c r="E101" i="14"/>
  <c r="E100" i="14"/>
  <c r="E76" i="9"/>
  <c r="F76" i="9"/>
  <c r="G76" i="9"/>
  <c r="H76" i="9"/>
  <c r="I76" i="9"/>
  <c r="J76" i="9"/>
  <c r="K76" i="9"/>
  <c r="L76" i="9"/>
  <c r="M76" i="9"/>
  <c r="M24" i="19"/>
  <c r="L24" i="19"/>
  <c r="K24" i="19"/>
  <c r="J24" i="19"/>
  <c r="I24" i="19"/>
  <c r="H24" i="19"/>
  <c r="G24" i="19"/>
  <c r="F24" i="19"/>
  <c r="E24" i="19"/>
  <c r="D24" i="19"/>
  <c r="C24" i="19"/>
  <c r="B24" i="19"/>
  <c r="A24" i="19"/>
  <c r="B32" i="9"/>
  <c r="B31" i="9"/>
  <c r="A32" i="9"/>
  <c r="A31" i="9"/>
  <c r="C27" i="9"/>
  <c r="B27" i="9"/>
  <c r="D346" i="20"/>
  <c r="E346" i="20"/>
  <c r="F346" i="20"/>
  <c r="C346" i="20"/>
  <c r="C26" i="9"/>
  <c r="B26" i="9"/>
  <c r="A27" i="9"/>
  <c r="A26" i="9"/>
  <c r="E145" i="21"/>
  <c r="F145" i="21"/>
  <c r="F152" i="21"/>
  <c r="F154" i="21"/>
  <c r="F156" i="21"/>
  <c r="F166" i="21"/>
  <c r="F170" i="21"/>
  <c r="G152" i="21"/>
  <c r="G154" i="21"/>
  <c r="G118" i="21"/>
  <c r="G156" i="21"/>
  <c r="G166" i="21"/>
  <c r="G170" i="21"/>
  <c r="H118" i="21"/>
  <c r="H156" i="21"/>
  <c r="H166" i="21"/>
  <c r="H170" i="21"/>
  <c r="I118" i="21"/>
  <c r="I156" i="21"/>
  <c r="I166" i="21"/>
  <c r="I170" i="21"/>
  <c r="J118" i="21"/>
  <c r="J146" i="21"/>
  <c r="J153" i="21"/>
  <c r="J154" i="21"/>
  <c r="J156" i="21"/>
  <c r="J166" i="21"/>
  <c r="J170" i="21"/>
  <c r="K118" i="21"/>
  <c r="K146" i="21"/>
  <c r="K153" i="21"/>
  <c r="K154" i="21"/>
  <c r="K156" i="21"/>
  <c r="K166" i="21"/>
  <c r="K170" i="21"/>
  <c r="L118" i="21"/>
  <c r="L153" i="21"/>
  <c r="L154" i="21"/>
  <c r="L131" i="21"/>
  <c r="L156" i="21"/>
  <c r="L166" i="21"/>
  <c r="L170" i="21"/>
  <c r="M118" i="21"/>
  <c r="M131" i="21"/>
  <c r="M156" i="21"/>
  <c r="M166" i="21"/>
  <c r="M170" i="21"/>
  <c r="N118" i="21"/>
  <c r="N131" i="21"/>
  <c r="N156" i="21"/>
  <c r="N166" i="21"/>
  <c r="N170" i="21"/>
  <c r="O118" i="21"/>
  <c r="O131" i="21"/>
  <c r="O156" i="21"/>
  <c r="O166" i="21"/>
  <c r="O170" i="21"/>
  <c r="P118" i="21"/>
  <c r="P131" i="21"/>
  <c r="P156" i="21"/>
  <c r="P166" i="21"/>
  <c r="P170" i="21"/>
  <c r="Q131" i="21"/>
  <c r="Q156" i="21"/>
  <c r="Q166" i="21"/>
  <c r="Q170" i="21"/>
  <c r="R131" i="21"/>
  <c r="R156" i="21"/>
  <c r="R166" i="21"/>
  <c r="R170" i="21"/>
  <c r="S131" i="21"/>
  <c r="S156" i="21"/>
  <c r="S166" i="21"/>
  <c r="S170" i="21"/>
  <c r="T131" i="21"/>
  <c r="T156" i="21"/>
  <c r="T166" i="21"/>
  <c r="T170" i="21"/>
  <c r="C170" i="21"/>
  <c r="C22" i="9"/>
  <c r="B22" i="9"/>
  <c r="E145" i="20"/>
  <c r="F145" i="20"/>
  <c r="F152" i="20"/>
  <c r="F154" i="20"/>
  <c r="F156" i="20"/>
  <c r="F166" i="20"/>
  <c r="F170" i="20"/>
  <c r="G152" i="20"/>
  <c r="G154" i="20"/>
  <c r="G156" i="20"/>
  <c r="G166" i="20"/>
  <c r="G170" i="20"/>
  <c r="H156" i="20"/>
  <c r="H166" i="20"/>
  <c r="H170" i="20"/>
  <c r="I156" i="20"/>
  <c r="I166" i="20"/>
  <c r="I170" i="20"/>
  <c r="J156" i="20"/>
  <c r="J166" i="20"/>
  <c r="J170" i="20"/>
  <c r="K156" i="20"/>
  <c r="K166" i="20"/>
  <c r="K170" i="20"/>
  <c r="L156" i="20"/>
  <c r="L166" i="20"/>
  <c r="L170" i="20"/>
  <c r="M156" i="20"/>
  <c r="M166" i="20"/>
  <c r="M170" i="20"/>
  <c r="N156" i="20"/>
  <c r="N166" i="20"/>
  <c r="N170" i="20"/>
  <c r="O156" i="20"/>
  <c r="O166" i="20"/>
  <c r="O170" i="20"/>
  <c r="P156" i="20"/>
  <c r="P166" i="20"/>
  <c r="P170" i="20"/>
  <c r="Q156" i="20"/>
  <c r="Q166" i="20"/>
  <c r="Q170" i="20"/>
  <c r="R156" i="20"/>
  <c r="R166" i="20"/>
  <c r="R170" i="20"/>
  <c r="S156" i="20"/>
  <c r="S166" i="20"/>
  <c r="S170" i="20"/>
  <c r="T156" i="20"/>
  <c r="T166" i="20"/>
  <c r="T170" i="20"/>
  <c r="C170" i="20"/>
  <c r="C21" i="9"/>
  <c r="B21" i="9"/>
  <c r="A22" i="9"/>
  <c r="A21" i="9"/>
  <c r="B17" i="9"/>
  <c r="B16" i="9"/>
  <c r="A17" i="9"/>
  <c r="A16" i="9"/>
  <c r="B12" i="9"/>
  <c r="B11" i="9"/>
  <c r="A12" i="9"/>
  <c r="A11" i="9"/>
  <c r="B7" i="9"/>
  <c r="B6" i="9"/>
  <c r="A7" i="9"/>
  <c r="A6" i="9"/>
  <c r="G108" i="21"/>
  <c r="G274" i="21"/>
  <c r="F108" i="21"/>
  <c r="F107" i="21"/>
  <c r="G107" i="21"/>
  <c r="G106" i="21"/>
  <c r="H106" i="21"/>
  <c r="F106" i="21"/>
  <c r="F105" i="21"/>
  <c r="G105" i="21"/>
  <c r="H105" i="21"/>
  <c r="I105" i="21"/>
  <c r="J105" i="21"/>
  <c r="K105" i="21"/>
  <c r="L105" i="21"/>
  <c r="M105" i="21"/>
  <c r="N105" i="21"/>
  <c r="O105" i="21"/>
  <c r="P105" i="21"/>
  <c r="Q105" i="21"/>
  <c r="R105" i="21"/>
  <c r="S105" i="21"/>
  <c r="T105" i="21"/>
  <c r="U105" i="21"/>
  <c r="V105" i="21"/>
  <c r="W105" i="21"/>
  <c r="X105" i="21"/>
  <c r="Y105" i="21"/>
  <c r="Z105" i="21"/>
  <c r="AA105" i="21"/>
  <c r="AB105" i="21"/>
  <c r="AC105" i="21"/>
  <c r="AD105" i="21"/>
  <c r="E103" i="21"/>
  <c r="F103" i="21"/>
  <c r="G103" i="21"/>
  <c r="H103" i="21"/>
  <c r="E102" i="21"/>
  <c r="F102" i="21"/>
  <c r="G102" i="21"/>
  <c r="H102" i="21"/>
  <c r="I102" i="21"/>
  <c r="E101" i="21"/>
  <c r="F101" i="21"/>
  <c r="G101" i="21"/>
  <c r="H101" i="21"/>
  <c r="I101" i="21"/>
  <c r="J101" i="21"/>
  <c r="E100" i="21"/>
  <c r="F100" i="21"/>
  <c r="F676" i="21"/>
  <c r="F677" i="21"/>
  <c r="E108" i="21"/>
  <c r="E107" i="21"/>
  <c r="E106" i="21"/>
  <c r="E105" i="21"/>
  <c r="E98" i="21"/>
  <c r="E738" i="21"/>
  <c r="E100" i="20"/>
  <c r="F100" i="20"/>
  <c r="G100" i="20"/>
  <c r="H100" i="20"/>
  <c r="I100" i="20"/>
  <c r="I227" i="20"/>
  <c r="E101" i="20"/>
  <c r="F101" i="20"/>
  <c r="G101" i="20"/>
  <c r="H101" i="20"/>
  <c r="I101" i="20"/>
  <c r="E102" i="20"/>
  <c r="F102" i="20"/>
  <c r="G102" i="20"/>
  <c r="H102" i="20"/>
  <c r="E103" i="20"/>
  <c r="F103" i="20"/>
  <c r="G103" i="20"/>
  <c r="D764" i="21"/>
  <c r="C764" i="21"/>
  <c r="B764" i="21"/>
  <c r="A764" i="21"/>
  <c r="A759" i="21"/>
  <c r="AD756" i="21"/>
  <c r="AC756" i="21"/>
  <c r="AB756" i="21"/>
  <c r="AA756" i="21"/>
  <c r="Z756" i="21"/>
  <c r="Y756" i="21"/>
  <c r="C756" i="21"/>
  <c r="B756" i="21"/>
  <c r="A756" i="21"/>
  <c r="AD755" i="21"/>
  <c r="AC755" i="21"/>
  <c r="AB755" i="21"/>
  <c r="AA755" i="21"/>
  <c r="Z755" i="21"/>
  <c r="Y755" i="21"/>
  <c r="D755" i="21"/>
  <c r="C755" i="21"/>
  <c r="B755" i="21"/>
  <c r="A755" i="21"/>
  <c r="A752" i="21"/>
  <c r="A748" i="21"/>
  <c r="B747" i="21"/>
  <c r="B746" i="21"/>
  <c r="B745" i="21"/>
  <c r="B744" i="21"/>
  <c r="D741" i="21"/>
  <c r="C741" i="21"/>
  <c r="B741" i="21"/>
  <c r="A741" i="21"/>
  <c r="A739" i="21"/>
  <c r="D738" i="21"/>
  <c r="B738" i="21"/>
  <c r="A738" i="21"/>
  <c r="D732" i="21"/>
  <c r="B732" i="21"/>
  <c r="A732" i="21"/>
  <c r="D727" i="21"/>
  <c r="B727" i="21"/>
  <c r="A727" i="21"/>
  <c r="D726" i="21"/>
  <c r="B726" i="21"/>
  <c r="A726" i="21"/>
  <c r="A724" i="21"/>
  <c r="B711" i="21"/>
  <c r="A710" i="21"/>
  <c r="B709" i="21"/>
  <c r="A709" i="21"/>
  <c r="B708" i="21"/>
  <c r="B706" i="21"/>
  <c r="D697" i="21"/>
  <c r="B697" i="21"/>
  <c r="A697" i="21"/>
  <c r="D693" i="21"/>
  <c r="B693" i="21"/>
  <c r="A693" i="21"/>
  <c r="B692" i="21"/>
  <c r="A692" i="21"/>
  <c r="D688" i="21"/>
  <c r="B688" i="21"/>
  <c r="A688" i="21"/>
  <c r="B687" i="21"/>
  <c r="A687" i="21"/>
  <c r="D683" i="21"/>
  <c r="B683" i="21"/>
  <c r="A683" i="21"/>
  <c r="B682" i="21"/>
  <c r="A682" i="21"/>
  <c r="E676" i="21"/>
  <c r="E677" i="21"/>
  <c r="D676" i="21"/>
  <c r="D677" i="21"/>
  <c r="B676" i="21"/>
  <c r="A676" i="21"/>
  <c r="A677" i="21"/>
  <c r="D675" i="21"/>
  <c r="B675" i="21"/>
  <c r="A675" i="21"/>
  <c r="D674" i="21"/>
  <c r="B674" i="21"/>
  <c r="A674" i="21"/>
  <c r="D673" i="21"/>
  <c r="B673" i="21"/>
  <c r="A673" i="21"/>
  <c r="D672" i="21"/>
  <c r="B672" i="21"/>
  <c r="A672" i="21"/>
  <c r="D671" i="21"/>
  <c r="B671" i="21"/>
  <c r="A671" i="21"/>
  <c r="D670" i="21"/>
  <c r="B670" i="21"/>
  <c r="A670" i="21"/>
  <c r="D669" i="21"/>
  <c r="B669" i="21"/>
  <c r="A669" i="21"/>
  <c r="D668" i="21"/>
  <c r="B668" i="21"/>
  <c r="A668" i="21"/>
  <c r="D667" i="21"/>
  <c r="B667" i="21"/>
  <c r="A667" i="21"/>
  <c r="B664" i="21"/>
  <c r="A664" i="21"/>
  <c r="B663" i="21"/>
  <c r="A663" i="21"/>
  <c r="A662" i="21"/>
  <c r="D657" i="21"/>
  <c r="C657" i="21"/>
  <c r="B657" i="21"/>
  <c r="A657" i="21"/>
  <c r="A655" i="21"/>
  <c r="B654" i="21"/>
  <c r="A654" i="21"/>
  <c r="B652" i="21"/>
  <c r="A652" i="21"/>
  <c r="A649" i="21"/>
  <c r="D648" i="21"/>
  <c r="B648" i="21"/>
  <c r="A648" i="21"/>
  <c r="E646" i="21"/>
  <c r="D646" i="21"/>
  <c r="A645" i="21"/>
  <c r="A708" i="21"/>
  <c r="E642" i="21"/>
  <c r="D642" i="21"/>
  <c r="B642" i="21"/>
  <c r="A642" i="21"/>
  <c r="E641" i="21"/>
  <c r="D641" i="21"/>
  <c r="A641" i="21"/>
  <c r="F635" i="21"/>
  <c r="G635" i="21"/>
  <c r="H635" i="21"/>
  <c r="I635" i="21"/>
  <c r="J635" i="21"/>
  <c r="K635" i="21"/>
  <c r="L635" i="21"/>
  <c r="M635" i="21"/>
  <c r="N635" i="21"/>
  <c r="O635" i="21"/>
  <c r="P635" i="21"/>
  <c r="Q635" i="21"/>
  <c r="R635" i="21"/>
  <c r="S635" i="21"/>
  <c r="T635" i="21"/>
  <c r="U635" i="21"/>
  <c r="V635" i="21"/>
  <c r="W635" i="21"/>
  <c r="X635" i="21"/>
  <c r="Y635" i="21"/>
  <c r="Z635" i="21"/>
  <c r="AA635" i="21"/>
  <c r="AB635" i="21"/>
  <c r="AC635" i="21"/>
  <c r="AD635" i="21"/>
  <c r="E635" i="21"/>
  <c r="B632" i="21"/>
  <c r="A632" i="21"/>
  <c r="D631" i="21"/>
  <c r="I630" i="21"/>
  <c r="J630" i="21"/>
  <c r="K630" i="21"/>
  <c r="L630" i="21"/>
  <c r="M630" i="21"/>
  <c r="N630" i="21"/>
  <c r="O630" i="21"/>
  <c r="P630" i="21"/>
  <c r="Q630" i="21"/>
  <c r="R630" i="21"/>
  <c r="S630" i="21"/>
  <c r="T630" i="21"/>
  <c r="U630" i="21"/>
  <c r="V630" i="21"/>
  <c r="W630" i="21"/>
  <c r="X630" i="21"/>
  <c r="Y630" i="21"/>
  <c r="Z630" i="21"/>
  <c r="AA630" i="21"/>
  <c r="AB630" i="21"/>
  <c r="AC630" i="21"/>
  <c r="AD630" i="21"/>
  <c r="G630" i="21"/>
  <c r="H630" i="21"/>
  <c r="F630" i="21"/>
  <c r="E630" i="21"/>
  <c r="E629" i="21"/>
  <c r="D629" i="21"/>
  <c r="B629" i="21"/>
  <c r="F628" i="21"/>
  <c r="G628" i="21"/>
  <c r="E628" i="21"/>
  <c r="W621" i="21"/>
  <c r="X621" i="21"/>
  <c r="Y621" i="21"/>
  <c r="Z621" i="21"/>
  <c r="AA621" i="21"/>
  <c r="AB621" i="21"/>
  <c r="AC621" i="21"/>
  <c r="AD621" i="21"/>
  <c r="U621" i="21"/>
  <c r="V621" i="21"/>
  <c r="S621" i="21"/>
  <c r="T621" i="21"/>
  <c r="F621" i="21"/>
  <c r="G621" i="21"/>
  <c r="H621" i="21"/>
  <c r="I621" i="21"/>
  <c r="J621" i="21"/>
  <c r="K621" i="21"/>
  <c r="L621" i="21"/>
  <c r="M621" i="21"/>
  <c r="N621" i="21"/>
  <c r="O621" i="21"/>
  <c r="P621" i="21"/>
  <c r="Q621" i="21"/>
  <c r="R621" i="21"/>
  <c r="E621" i="21"/>
  <c r="B618" i="21"/>
  <c r="A618" i="21"/>
  <c r="D617" i="21"/>
  <c r="Q616" i="21"/>
  <c r="R616" i="21"/>
  <c r="S616" i="21"/>
  <c r="T616" i="21"/>
  <c r="U616" i="21"/>
  <c r="V616" i="21"/>
  <c r="W616" i="21"/>
  <c r="X616" i="21"/>
  <c r="Y616" i="21"/>
  <c r="Z616" i="21"/>
  <c r="AA616" i="21"/>
  <c r="AB616" i="21"/>
  <c r="AC616" i="21"/>
  <c r="AD616" i="21"/>
  <c r="I616" i="21"/>
  <c r="J616" i="21"/>
  <c r="K616" i="21"/>
  <c r="L616" i="21"/>
  <c r="M616" i="21"/>
  <c r="N616" i="21"/>
  <c r="O616" i="21"/>
  <c r="P616" i="21"/>
  <c r="E616" i="21"/>
  <c r="F616" i="21"/>
  <c r="G616" i="21"/>
  <c r="H616" i="21"/>
  <c r="D615" i="21"/>
  <c r="B615" i="21"/>
  <c r="A615" i="21"/>
  <c r="J614" i="21"/>
  <c r="I614" i="21"/>
  <c r="G614" i="21"/>
  <c r="H614" i="21"/>
  <c r="E614" i="21"/>
  <c r="F614" i="21"/>
  <c r="F611" i="21"/>
  <c r="E611" i="21"/>
  <c r="E615" i="21"/>
  <c r="E617" i="21"/>
  <c r="A611" i="21"/>
  <c r="A629" i="21"/>
  <c r="N610" i="21"/>
  <c r="O610" i="21"/>
  <c r="P610" i="21"/>
  <c r="Q610" i="21"/>
  <c r="R610" i="21"/>
  <c r="S610" i="21"/>
  <c r="T610" i="21"/>
  <c r="U610" i="21"/>
  <c r="V610" i="21"/>
  <c r="W610" i="21"/>
  <c r="X610" i="21"/>
  <c r="Y610" i="21"/>
  <c r="Z610" i="21"/>
  <c r="AA610" i="21"/>
  <c r="AB610" i="21"/>
  <c r="AC610" i="21"/>
  <c r="AD610" i="21"/>
  <c r="L610" i="21"/>
  <c r="M610" i="21"/>
  <c r="H610" i="21"/>
  <c r="I610" i="21"/>
  <c r="J610" i="21"/>
  <c r="K610" i="21"/>
  <c r="D605" i="21"/>
  <c r="C605" i="21"/>
  <c r="B605" i="21"/>
  <c r="A605" i="21"/>
  <c r="AD603" i="21"/>
  <c r="AC603" i="21"/>
  <c r="A603" i="21"/>
  <c r="X602" i="21"/>
  <c r="Y602" i="21"/>
  <c r="Z602" i="21"/>
  <c r="AA602" i="21"/>
  <c r="AB602" i="21"/>
  <c r="AC602" i="21"/>
  <c r="AD602" i="21"/>
  <c r="G602" i="21"/>
  <c r="H602" i="21"/>
  <c r="I602" i="21"/>
  <c r="J602" i="21"/>
  <c r="K602" i="21"/>
  <c r="L602" i="21"/>
  <c r="M602" i="21"/>
  <c r="N602" i="21"/>
  <c r="O602" i="21"/>
  <c r="P602" i="21"/>
  <c r="Q602" i="21"/>
  <c r="R602" i="21"/>
  <c r="S602" i="21"/>
  <c r="T602" i="21"/>
  <c r="U602" i="21"/>
  <c r="V602" i="21"/>
  <c r="W602" i="21"/>
  <c r="F602" i="21"/>
  <c r="E602" i="21"/>
  <c r="N600" i="21"/>
  <c r="O600" i="21"/>
  <c r="P600" i="21"/>
  <c r="Q600" i="21"/>
  <c r="R600" i="21"/>
  <c r="S600" i="21"/>
  <c r="T600" i="21"/>
  <c r="U600" i="21"/>
  <c r="V600" i="21"/>
  <c r="W600" i="21"/>
  <c r="X600" i="21"/>
  <c r="Y600" i="21"/>
  <c r="Z600" i="21"/>
  <c r="AA600" i="21"/>
  <c r="AB600" i="21"/>
  <c r="AC600" i="21"/>
  <c r="AD600" i="21"/>
  <c r="G600" i="21"/>
  <c r="H600" i="21"/>
  <c r="I600" i="21"/>
  <c r="J600" i="21"/>
  <c r="K600" i="21"/>
  <c r="L600" i="21"/>
  <c r="M600" i="21"/>
  <c r="F600" i="21"/>
  <c r="E600" i="21"/>
  <c r="B599" i="21"/>
  <c r="A599" i="21"/>
  <c r="D596" i="21"/>
  <c r="C596" i="21"/>
  <c r="B596" i="21"/>
  <c r="A596" i="21"/>
  <c r="E594" i="21"/>
  <c r="D594" i="21"/>
  <c r="A593" i="21"/>
  <c r="A594" i="21"/>
  <c r="D591" i="21"/>
  <c r="N590" i="21"/>
  <c r="O590" i="21"/>
  <c r="P590" i="21"/>
  <c r="Q590" i="21"/>
  <c r="R590" i="21"/>
  <c r="S590" i="21"/>
  <c r="T590" i="21"/>
  <c r="U590" i="21"/>
  <c r="V590" i="21"/>
  <c r="W590" i="21"/>
  <c r="X590" i="21"/>
  <c r="Y590" i="21"/>
  <c r="Z590" i="21"/>
  <c r="AA590" i="21"/>
  <c r="AB590" i="21"/>
  <c r="AC590" i="21"/>
  <c r="AD590" i="21"/>
  <c r="L590" i="21"/>
  <c r="M590" i="21"/>
  <c r="E590" i="21"/>
  <c r="F590" i="21"/>
  <c r="G590" i="21"/>
  <c r="H590" i="21"/>
  <c r="I590" i="21"/>
  <c r="J590" i="21"/>
  <c r="K590" i="21"/>
  <c r="A587" i="21"/>
  <c r="D585" i="21"/>
  <c r="P584" i="21"/>
  <c r="Q584" i="21"/>
  <c r="R584" i="21"/>
  <c r="S584" i="21"/>
  <c r="T584" i="21"/>
  <c r="U584" i="21"/>
  <c r="V584" i="21"/>
  <c r="W584" i="21"/>
  <c r="X584" i="21"/>
  <c r="Y584" i="21"/>
  <c r="Z584" i="21"/>
  <c r="AA584" i="21"/>
  <c r="AB584" i="21"/>
  <c r="AC584" i="21"/>
  <c r="AD584" i="21"/>
  <c r="N584" i="21"/>
  <c r="O584" i="21"/>
  <c r="M584" i="21"/>
  <c r="I584" i="21"/>
  <c r="J584" i="21"/>
  <c r="K584" i="21"/>
  <c r="L584" i="21"/>
  <c r="E584" i="21"/>
  <c r="F584" i="21"/>
  <c r="G584" i="21"/>
  <c r="H584" i="21"/>
  <c r="E583" i="21"/>
  <c r="E585" i="21"/>
  <c r="D583" i="21"/>
  <c r="B583" i="21"/>
  <c r="A583" i="21"/>
  <c r="H580" i="21"/>
  <c r="I580" i="21"/>
  <c r="J580" i="21"/>
  <c r="K580" i="21"/>
  <c r="L580" i="21"/>
  <c r="M580" i="21"/>
  <c r="N580" i="21"/>
  <c r="O580" i="21"/>
  <c r="P580" i="21"/>
  <c r="Q580" i="21"/>
  <c r="R580" i="21"/>
  <c r="S580" i="21"/>
  <c r="T580" i="21"/>
  <c r="U580" i="21"/>
  <c r="V580" i="21"/>
  <c r="W580" i="21"/>
  <c r="X580" i="21"/>
  <c r="Y580" i="21"/>
  <c r="Z580" i="21"/>
  <c r="AA580" i="21"/>
  <c r="AB580" i="21"/>
  <c r="AC580" i="21"/>
  <c r="AD580" i="21"/>
  <c r="E580" i="21"/>
  <c r="F580" i="21"/>
  <c r="G580" i="21"/>
  <c r="B579" i="21"/>
  <c r="A579" i="21"/>
  <c r="E575" i="21"/>
  <c r="D575" i="21"/>
  <c r="A575" i="21"/>
  <c r="E574" i="21"/>
  <c r="D574" i="21"/>
  <c r="E572" i="21"/>
  <c r="D572" i="21"/>
  <c r="A572" i="21"/>
  <c r="F571" i="21"/>
  <c r="G571" i="21"/>
  <c r="H571" i="21"/>
  <c r="I571" i="21"/>
  <c r="J571" i="21"/>
  <c r="K571" i="21"/>
  <c r="L571" i="21"/>
  <c r="M571" i="21"/>
  <c r="N571" i="21"/>
  <c r="O571" i="21"/>
  <c r="P571" i="21"/>
  <c r="Q571" i="21"/>
  <c r="R571" i="21"/>
  <c r="S571" i="21"/>
  <c r="T571" i="21"/>
  <c r="U571" i="21"/>
  <c r="V571" i="21"/>
  <c r="W571" i="21"/>
  <c r="X571" i="21"/>
  <c r="Y571" i="21"/>
  <c r="Z571" i="21"/>
  <c r="AA571" i="21"/>
  <c r="AB571" i="21"/>
  <c r="AC571" i="21"/>
  <c r="AD571" i="21"/>
  <c r="E571" i="21"/>
  <c r="E570" i="21"/>
  <c r="D570" i="21"/>
  <c r="B570" i="21"/>
  <c r="A570" i="21"/>
  <c r="E566" i="21"/>
  <c r="D566" i="21"/>
  <c r="A566" i="21"/>
  <c r="J565" i="21"/>
  <c r="K565" i="21"/>
  <c r="L565" i="21"/>
  <c r="M565" i="21"/>
  <c r="N565" i="21"/>
  <c r="O565" i="21"/>
  <c r="P565" i="21"/>
  <c r="Q565" i="21"/>
  <c r="R565" i="21"/>
  <c r="S565" i="21"/>
  <c r="T565" i="21"/>
  <c r="U565" i="21"/>
  <c r="V565" i="21"/>
  <c r="W565" i="21"/>
  <c r="X565" i="21"/>
  <c r="Y565" i="21"/>
  <c r="Z565" i="21"/>
  <c r="AA565" i="21"/>
  <c r="AB565" i="21"/>
  <c r="AC565" i="21"/>
  <c r="AD565" i="21"/>
  <c r="H565" i="21"/>
  <c r="I565" i="21"/>
  <c r="G565" i="21"/>
  <c r="F565" i="21"/>
  <c r="E565" i="21"/>
  <c r="J564" i="21"/>
  <c r="K564" i="21"/>
  <c r="L564" i="21"/>
  <c r="M564" i="21"/>
  <c r="N564" i="21"/>
  <c r="O564" i="21"/>
  <c r="P564" i="21"/>
  <c r="Q564" i="21"/>
  <c r="R564" i="21"/>
  <c r="S564" i="21"/>
  <c r="T564" i="21"/>
  <c r="U564" i="21"/>
  <c r="V564" i="21"/>
  <c r="W564" i="21"/>
  <c r="X564" i="21"/>
  <c r="Y564" i="21"/>
  <c r="Z564" i="21"/>
  <c r="AA564" i="21"/>
  <c r="AB564" i="21"/>
  <c r="AC564" i="21"/>
  <c r="AD564" i="21"/>
  <c r="E564" i="21"/>
  <c r="F564" i="21"/>
  <c r="G564" i="21"/>
  <c r="H564" i="21"/>
  <c r="I564" i="21"/>
  <c r="AB563" i="21"/>
  <c r="AC563" i="21"/>
  <c r="AD563" i="21"/>
  <c r="E563" i="21"/>
  <c r="F563" i="21"/>
  <c r="G563" i="21"/>
  <c r="H563" i="21"/>
  <c r="I563" i="21"/>
  <c r="J563" i="21"/>
  <c r="K563" i="21"/>
  <c r="L563" i="21"/>
  <c r="M563" i="21"/>
  <c r="N563" i="21"/>
  <c r="O563" i="21"/>
  <c r="P563" i="21"/>
  <c r="Q563" i="21"/>
  <c r="R563" i="21"/>
  <c r="S563" i="21"/>
  <c r="T563" i="21"/>
  <c r="U563" i="21"/>
  <c r="V563" i="21"/>
  <c r="W563" i="21"/>
  <c r="X563" i="21"/>
  <c r="Y563" i="21"/>
  <c r="Z563" i="21"/>
  <c r="AA563" i="21"/>
  <c r="D559" i="21"/>
  <c r="A559" i="21"/>
  <c r="F558" i="21"/>
  <c r="G558" i="21"/>
  <c r="H558" i="21"/>
  <c r="I558" i="21"/>
  <c r="J558" i="21"/>
  <c r="K558" i="21"/>
  <c r="L558" i="21"/>
  <c r="M558" i="21"/>
  <c r="N558" i="21"/>
  <c r="O558" i="21"/>
  <c r="P558" i="21"/>
  <c r="Q558" i="21"/>
  <c r="R558" i="21"/>
  <c r="S558" i="21"/>
  <c r="T558" i="21"/>
  <c r="U558" i="21"/>
  <c r="V558" i="21"/>
  <c r="W558" i="21"/>
  <c r="X558" i="21"/>
  <c r="Y558" i="21"/>
  <c r="Z558" i="21"/>
  <c r="AA558" i="21"/>
  <c r="AB558" i="21"/>
  <c r="AC558" i="21"/>
  <c r="AD558" i="21"/>
  <c r="E558" i="21"/>
  <c r="N557" i="21"/>
  <c r="O557" i="21"/>
  <c r="P557" i="21"/>
  <c r="Q557" i="21"/>
  <c r="R557" i="21"/>
  <c r="S557" i="21"/>
  <c r="T557" i="21"/>
  <c r="U557" i="21"/>
  <c r="V557" i="21"/>
  <c r="W557" i="21"/>
  <c r="X557" i="21"/>
  <c r="Y557" i="21"/>
  <c r="Z557" i="21"/>
  <c r="AA557" i="21"/>
  <c r="AB557" i="21"/>
  <c r="AC557" i="21"/>
  <c r="AD557" i="21"/>
  <c r="K557" i="21"/>
  <c r="L557" i="21"/>
  <c r="M557" i="21"/>
  <c r="E557" i="21"/>
  <c r="F557" i="21"/>
  <c r="G557" i="21"/>
  <c r="H557" i="21"/>
  <c r="I557" i="21"/>
  <c r="J557" i="21"/>
  <c r="Q556" i="21"/>
  <c r="R556" i="21"/>
  <c r="S556" i="21"/>
  <c r="T556" i="21"/>
  <c r="U556" i="21"/>
  <c r="V556" i="21"/>
  <c r="W556" i="21"/>
  <c r="X556" i="21"/>
  <c r="Y556" i="21"/>
  <c r="Z556" i="21"/>
  <c r="AA556" i="21"/>
  <c r="AB556" i="21"/>
  <c r="AC556" i="21"/>
  <c r="AD556" i="21"/>
  <c r="E556" i="21"/>
  <c r="F556" i="21"/>
  <c r="G556" i="21"/>
  <c r="H556" i="21"/>
  <c r="I556" i="21"/>
  <c r="J556" i="21"/>
  <c r="K556" i="21"/>
  <c r="L556" i="21"/>
  <c r="M556" i="21"/>
  <c r="N556" i="21"/>
  <c r="O556" i="21"/>
  <c r="P556" i="21"/>
  <c r="H555" i="21"/>
  <c r="G555" i="21"/>
  <c r="G559" i="21"/>
  <c r="F555" i="21"/>
  <c r="F559" i="21"/>
  <c r="E555" i="21"/>
  <c r="E559" i="21"/>
  <c r="D551" i="21"/>
  <c r="A551" i="21"/>
  <c r="O550" i="21"/>
  <c r="P550" i="21"/>
  <c r="Q550" i="21"/>
  <c r="R550" i="21"/>
  <c r="S550" i="21"/>
  <c r="T550" i="21"/>
  <c r="U550" i="21"/>
  <c r="V550" i="21"/>
  <c r="W550" i="21"/>
  <c r="X550" i="21"/>
  <c r="Y550" i="21"/>
  <c r="Z550" i="21"/>
  <c r="AA550" i="21"/>
  <c r="AB550" i="21"/>
  <c r="AC550" i="21"/>
  <c r="AD550" i="21"/>
  <c r="F550" i="21"/>
  <c r="G550" i="21"/>
  <c r="H550" i="21"/>
  <c r="I550" i="21"/>
  <c r="J550" i="21"/>
  <c r="K550" i="21"/>
  <c r="L550" i="21"/>
  <c r="M550" i="21"/>
  <c r="N550" i="21"/>
  <c r="E550" i="21"/>
  <c r="K549" i="21"/>
  <c r="L549" i="21"/>
  <c r="M549" i="21"/>
  <c r="N549" i="21"/>
  <c r="O549" i="21"/>
  <c r="P549" i="21"/>
  <c r="Q549" i="21"/>
  <c r="R549" i="21"/>
  <c r="S549" i="21"/>
  <c r="T549" i="21"/>
  <c r="U549" i="21"/>
  <c r="V549" i="21"/>
  <c r="W549" i="21"/>
  <c r="X549" i="21"/>
  <c r="Y549" i="21"/>
  <c r="Z549" i="21"/>
  <c r="AA549" i="21"/>
  <c r="AB549" i="21"/>
  <c r="AC549" i="21"/>
  <c r="AD549" i="21"/>
  <c r="H549" i="21"/>
  <c r="I549" i="21"/>
  <c r="J549" i="21"/>
  <c r="E549" i="21"/>
  <c r="F549" i="21"/>
  <c r="G549" i="21"/>
  <c r="O548" i="21"/>
  <c r="P548" i="21"/>
  <c r="Q548" i="21"/>
  <c r="R548" i="21"/>
  <c r="S548" i="21"/>
  <c r="T548" i="21"/>
  <c r="U548" i="21"/>
  <c r="V548" i="21"/>
  <c r="W548" i="21"/>
  <c r="X548" i="21"/>
  <c r="Y548" i="21"/>
  <c r="Z548" i="21"/>
  <c r="AA548" i="21"/>
  <c r="AB548" i="21"/>
  <c r="AC548" i="21"/>
  <c r="AD548" i="21"/>
  <c r="G548" i="21"/>
  <c r="H548" i="21"/>
  <c r="I548" i="21"/>
  <c r="J548" i="21"/>
  <c r="K548" i="21"/>
  <c r="L548" i="21"/>
  <c r="M548" i="21"/>
  <c r="N548" i="21"/>
  <c r="E548" i="21"/>
  <c r="F548" i="21"/>
  <c r="X547" i="21"/>
  <c r="Y547" i="21"/>
  <c r="Z547" i="21"/>
  <c r="AA547" i="21"/>
  <c r="AB547" i="21"/>
  <c r="AC547" i="21"/>
  <c r="AD547" i="21"/>
  <c r="T547" i="21"/>
  <c r="U547" i="21"/>
  <c r="V547" i="21"/>
  <c r="W547" i="21"/>
  <c r="H547" i="21"/>
  <c r="I547" i="21"/>
  <c r="J547" i="21"/>
  <c r="K547" i="21"/>
  <c r="L547" i="21"/>
  <c r="M547" i="21"/>
  <c r="N547" i="21"/>
  <c r="O547" i="21"/>
  <c r="P547" i="21"/>
  <c r="Q547" i="21"/>
  <c r="R547" i="21"/>
  <c r="S547" i="21"/>
  <c r="F547" i="21"/>
  <c r="G547" i="21"/>
  <c r="E547" i="21"/>
  <c r="G546" i="21"/>
  <c r="H546" i="21"/>
  <c r="I546" i="21"/>
  <c r="J546" i="21"/>
  <c r="K546" i="21"/>
  <c r="L546" i="21"/>
  <c r="M546" i="21"/>
  <c r="N546" i="21"/>
  <c r="O546" i="21"/>
  <c r="P546" i="21"/>
  <c r="Q546" i="21"/>
  <c r="R546" i="21"/>
  <c r="S546" i="21"/>
  <c r="T546" i="21"/>
  <c r="U546" i="21"/>
  <c r="V546" i="21"/>
  <c r="W546" i="21"/>
  <c r="X546" i="21"/>
  <c r="Y546" i="21"/>
  <c r="Z546" i="21"/>
  <c r="AA546" i="21"/>
  <c r="AB546" i="21"/>
  <c r="AC546" i="21"/>
  <c r="AD546" i="21"/>
  <c r="F546" i="21"/>
  <c r="E546" i="21"/>
  <c r="E545" i="21"/>
  <c r="F545" i="21"/>
  <c r="G545" i="21"/>
  <c r="H545" i="21"/>
  <c r="A541" i="21"/>
  <c r="D540" i="21"/>
  <c r="D541" i="21"/>
  <c r="B540" i="21"/>
  <c r="A540" i="21"/>
  <c r="E539" i="21"/>
  <c r="A535" i="21"/>
  <c r="D533" i="21"/>
  <c r="A533" i="21"/>
  <c r="E532" i="21"/>
  <c r="J531" i="21"/>
  <c r="I531" i="21"/>
  <c r="H531" i="21"/>
  <c r="G531" i="21"/>
  <c r="F531" i="21"/>
  <c r="E531" i="21"/>
  <c r="D529" i="21"/>
  <c r="A529" i="21"/>
  <c r="L528" i="21"/>
  <c r="M528" i="21"/>
  <c r="N528" i="21"/>
  <c r="O528" i="21"/>
  <c r="P528" i="21"/>
  <c r="Q528" i="21"/>
  <c r="R528" i="21"/>
  <c r="S528" i="21"/>
  <c r="T528" i="21"/>
  <c r="U528" i="21"/>
  <c r="V528" i="21"/>
  <c r="W528" i="21"/>
  <c r="X528" i="21"/>
  <c r="Y528" i="21"/>
  <c r="Z528" i="21"/>
  <c r="AA528" i="21"/>
  <c r="AB528" i="21"/>
  <c r="AC528" i="21"/>
  <c r="AD528" i="21"/>
  <c r="I528" i="21"/>
  <c r="J528" i="21"/>
  <c r="K528" i="21"/>
  <c r="H528" i="21"/>
  <c r="F528" i="21"/>
  <c r="G528" i="21"/>
  <c r="E528" i="21"/>
  <c r="F527" i="21"/>
  <c r="F529" i="21"/>
  <c r="E527" i="21"/>
  <c r="E529" i="21"/>
  <c r="A525" i="21"/>
  <c r="Q524" i="21"/>
  <c r="R524" i="21"/>
  <c r="S524" i="21"/>
  <c r="T524" i="21"/>
  <c r="U524" i="21"/>
  <c r="V524" i="21"/>
  <c r="W524" i="21"/>
  <c r="X524" i="21"/>
  <c r="Y524" i="21"/>
  <c r="Z524" i="21"/>
  <c r="AA524" i="21"/>
  <c r="AB524" i="21"/>
  <c r="AC524" i="21"/>
  <c r="AD524" i="21"/>
  <c r="G524" i="21"/>
  <c r="H524" i="21"/>
  <c r="I524" i="21"/>
  <c r="J524" i="21"/>
  <c r="K524" i="21"/>
  <c r="L524" i="21"/>
  <c r="M524" i="21"/>
  <c r="N524" i="21"/>
  <c r="O524" i="21"/>
  <c r="P524" i="21"/>
  <c r="E524" i="21"/>
  <c r="F524" i="21"/>
  <c r="F525" i="21"/>
  <c r="F523" i="21"/>
  <c r="E523" i="21"/>
  <c r="D523" i="21"/>
  <c r="D525" i="21"/>
  <c r="L522" i="21"/>
  <c r="M522" i="21"/>
  <c r="N522" i="21"/>
  <c r="O522" i="21"/>
  <c r="P522" i="21"/>
  <c r="Q522" i="21"/>
  <c r="R522" i="21"/>
  <c r="S522" i="21"/>
  <c r="T522" i="21"/>
  <c r="U522" i="21"/>
  <c r="V522" i="21"/>
  <c r="W522" i="21"/>
  <c r="X522" i="21"/>
  <c r="Y522" i="21"/>
  <c r="Z522" i="21"/>
  <c r="AA522" i="21"/>
  <c r="AB522" i="21"/>
  <c r="AC522" i="21"/>
  <c r="AD522" i="21"/>
  <c r="K522" i="21"/>
  <c r="J522" i="21"/>
  <c r="F522" i="21"/>
  <c r="G522" i="21"/>
  <c r="H522" i="21"/>
  <c r="I522" i="21"/>
  <c r="E522" i="21"/>
  <c r="F521" i="21"/>
  <c r="G521" i="21"/>
  <c r="H521" i="21"/>
  <c r="H523" i="21"/>
  <c r="H525" i="21"/>
  <c r="E521" i="21"/>
  <c r="D519" i="21"/>
  <c r="A519" i="21"/>
  <c r="I518" i="21"/>
  <c r="J518" i="21"/>
  <c r="K518" i="21"/>
  <c r="L518" i="21"/>
  <c r="M518" i="21"/>
  <c r="N518" i="21"/>
  <c r="O518" i="21"/>
  <c r="P518" i="21"/>
  <c r="Q518" i="21"/>
  <c r="R518" i="21"/>
  <c r="S518" i="21"/>
  <c r="T518" i="21"/>
  <c r="U518" i="21"/>
  <c r="V518" i="21"/>
  <c r="W518" i="21"/>
  <c r="X518" i="21"/>
  <c r="Y518" i="21"/>
  <c r="Z518" i="21"/>
  <c r="AA518" i="21"/>
  <c r="AB518" i="21"/>
  <c r="AC518" i="21"/>
  <c r="AD518" i="21"/>
  <c r="H518" i="21"/>
  <c r="G518" i="21"/>
  <c r="F518" i="21"/>
  <c r="E518" i="21"/>
  <c r="H517" i="21"/>
  <c r="H519" i="21"/>
  <c r="G517" i="21"/>
  <c r="G519" i="21"/>
  <c r="F517" i="21"/>
  <c r="E517" i="21"/>
  <c r="D512" i="21"/>
  <c r="C512" i="21"/>
  <c r="B512" i="21"/>
  <c r="A512" i="21"/>
  <c r="E510" i="21"/>
  <c r="D510" i="21"/>
  <c r="A510" i="21"/>
  <c r="G505" i="21"/>
  <c r="H505" i="21"/>
  <c r="I505" i="21"/>
  <c r="J505" i="21"/>
  <c r="K505" i="21"/>
  <c r="L505" i="21"/>
  <c r="M505" i="21"/>
  <c r="N505" i="21"/>
  <c r="O505" i="21"/>
  <c r="P505" i="21"/>
  <c r="Q505" i="21"/>
  <c r="R505" i="21"/>
  <c r="S505" i="21"/>
  <c r="T505" i="21"/>
  <c r="U505" i="21"/>
  <c r="V505" i="21"/>
  <c r="W505" i="21"/>
  <c r="X505" i="21"/>
  <c r="Y505" i="21"/>
  <c r="Z505" i="21"/>
  <c r="AA505" i="21"/>
  <c r="AB505" i="21"/>
  <c r="AC505" i="21"/>
  <c r="AD505" i="21"/>
  <c r="F505" i="21"/>
  <c r="E505" i="21"/>
  <c r="D503" i="21"/>
  <c r="A503" i="21"/>
  <c r="K502" i="21"/>
  <c r="L502" i="21"/>
  <c r="M502" i="21"/>
  <c r="N502" i="21"/>
  <c r="O502" i="21"/>
  <c r="P502" i="21"/>
  <c r="Q502" i="21"/>
  <c r="R502" i="21"/>
  <c r="S502" i="21"/>
  <c r="T502" i="21"/>
  <c r="U502" i="21"/>
  <c r="V502" i="21"/>
  <c r="W502" i="21"/>
  <c r="X502" i="21"/>
  <c r="Y502" i="21"/>
  <c r="Z502" i="21"/>
  <c r="AA502" i="21"/>
  <c r="AB502" i="21"/>
  <c r="AC502" i="21"/>
  <c r="AD502" i="21"/>
  <c r="G502" i="21"/>
  <c r="H502" i="21"/>
  <c r="I502" i="21"/>
  <c r="J502" i="21"/>
  <c r="F502" i="21"/>
  <c r="E502" i="21"/>
  <c r="D501" i="21"/>
  <c r="E500" i="21"/>
  <c r="F500" i="21"/>
  <c r="G500" i="21"/>
  <c r="H500" i="21"/>
  <c r="I500" i="21"/>
  <c r="J500" i="21"/>
  <c r="K500" i="21"/>
  <c r="L500" i="21"/>
  <c r="M500" i="21"/>
  <c r="N500" i="21"/>
  <c r="O500" i="21"/>
  <c r="P500" i="21"/>
  <c r="Q500" i="21"/>
  <c r="R500" i="21"/>
  <c r="S500" i="21"/>
  <c r="T500" i="21"/>
  <c r="U500" i="21"/>
  <c r="V500" i="21"/>
  <c r="W500" i="21"/>
  <c r="X500" i="21"/>
  <c r="Y500" i="21"/>
  <c r="Z500" i="21"/>
  <c r="AA500" i="21"/>
  <c r="AB500" i="21"/>
  <c r="AC500" i="21"/>
  <c r="AD500" i="21"/>
  <c r="K499" i="21"/>
  <c r="L499" i="21"/>
  <c r="M499" i="21"/>
  <c r="N499" i="21"/>
  <c r="O499" i="21"/>
  <c r="P499" i="21"/>
  <c r="Q499" i="21"/>
  <c r="R499" i="21"/>
  <c r="S499" i="21"/>
  <c r="T499" i="21"/>
  <c r="U499" i="21"/>
  <c r="V499" i="21"/>
  <c r="W499" i="21"/>
  <c r="X499" i="21"/>
  <c r="Y499" i="21"/>
  <c r="Z499" i="21"/>
  <c r="AA499" i="21"/>
  <c r="AB499" i="21"/>
  <c r="AC499" i="21"/>
  <c r="AD499" i="21"/>
  <c r="J499" i="21"/>
  <c r="I499" i="21"/>
  <c r="E499" i="21"/>
  <c r="F499" i="21"/>
  <c r="G499" i="21"/>
  <c r="H499" i="21"/>
  <c r="E498" i="21"/>
  <c r="F490" i="21"/>
  <c r="G490" i="21"/>
  <c r="H490" i="21"/>
  <c r="I490" i="21"/>
  <c r="J490" i="21"/>
  <c r="K490" i="21"/>
  <c r="L490" i="21"/>
  <c r="M490" i="21"/>
  <c r="N490" i="21"/>
  <c r="O490" i="21"/>
  <c r="P490" i="21"/>
  <c r="Q490" i="21"/>
  <c r="R490" i="21"/>
  <c r="S490" i="21"/>
  <c r="T490" i="21"/>
  <c r="U490" i="21"/>
  <c r="V490" i="21"/>
  <c r="W490" i="21"/>
  <c r="X490" i="21"/>
  <c r="Y490" i="21"/>
  <c r="Z490" i="21"/>
  <c r="AA490" i="21"/>
  <c r="AB490" i="21"/>
  <c r="AC490" i="21"/>
  <c r="AD490" i="21"/>
  <c r="E490" i="21"/>
  <c r="J487" i="21"/>
  <c r="K487" i="21"/>
  <c r="L487" i="21"/>
  <c r="M487" i="21"/>
  <c r="N487" i="21"/>
  <c r="O487" i="21"/>
  <c r="P487" i="21"/>
  <c r="Q487" i="21"/>
  <c r="R487" i="21"/>
  <c r="S487" i="21"/>
  <c r="T487" i="21"/>
  <c r="U487" i="21"/>
  <c r="V487" i="21"/>
  <c r="W487" i="21"/>
  <c r="X487" i="21"/>
  <c r="Y487" i="21"/>
  <c r="Z487" i="21"/>
  <c r="AA487" i="21"/>
  <c r="AB487" i="21"/>
  <c r="AC487" i="21"/>
  <c r="AD487" i="21"/>
  <c r="F487" i="21"/>
  <c r="G487" i="21"/>
  <c r="H487" i="21"/>
  <c r="I487" i="21"/>
  <c r="E487" i="21"/>
  <c r="D484" i="21"/>
  <c r="G483" i="21"/>
  <c r="F483" i="21"/>
  <c r="F540" i="21"/>
  <c r="E483" i="21"/>
  <c r="E540" i="21"/>
  <c r="E482" i="21"/>
  <c r="E484" i="21"/>
  <c r="E477" i="21"/>
  <c r="D477" i="21"/>
  <c r="E476" i="21"/>
  <c r="F476" i="21"/>
  <c r="G476" i="21"/>
  <c r="H476" i="21"/>
  <c r="I476" i="21"/>
  <c r="J476" i="21"/>
  <c r="K476" i="21"/>
  <c r="L476" i="21"/>
  <c r="M476" i="21"/>
  <c r="N476" i="21"/>
  <c r="O476" i="21"/>
  <c r="P476" i="21"/>
  <c r="Q476" i="21"/>
  <c r="R476" i="21"/>
  <c r="S476" i="21"/>
  <c r="T476" i="21"/>
  <c r="U476" i="21"/>
  <c r="V476" i="21"/>
  <c r="W476" i="21"/>
  <c r="X476" i="21"/>
  <c r="Y476" i="21"/>
  <c r="Z476" i="21"/>
  <c r="AA476" i="21"/>
  <c r="AB476" i="21"/>
  <c r="AC476" i="21"/>
  <c r="AD476" i="21"/>
  <c r="F475" i="21"/>
  <c r="G475" i="21"/>
  <c r="E475" i="21"/>
  <c r="D473" i="21"/>
  <c r="F472" i="21"/>
  <c r="G472" i="21"/>
  <c r="H472" i="21"/>
  <c r="I472" i="21"/>
  <c r="J472" i="21"/>
  <c r="K472" i="21"/>
  <c r="L472" i="21"/>
  <c r="M472" i="21"/>
  <c r="N472" i="21"/>
  <c r="O472" i="21"/>
  <c r="P472" i="21"/>
  <c r="Q472" i="21"/>
  <c r="R472" i="21"/>
  <c r="S472" i="21"/>
  <c r="T472" i="21"/>
  <c r="U472" i="21"/>
  <c r="V472" i="21"/>
  <c r="W472" i="21"/>
  <c r="X472" i="21"/>
  <c r="Y472" i="21"/>
  <c r="Z472" i="21"/>
  <c r="AA472" i="21"/>
  <c r="AB472" i="21"/>
  <c r="AC472" i="21"/>
  <c r="AD472" i="21"/>
  <c r="E472" i="21"/>
  <c r="E471" i="21"/>
  <c r="H469" i="21"/>
  <c r="G469" i="21"/>
  <c r="F469" i="21"/>
  <c r="E469" i="21"/>
  <c r="E465" i="21"/>
  <c r="E507" i="21"/>
  <c r="D465" i="21"/>
  <c r="D507" i="21"/>
  <c r="B465" i="21"/>
  <c r="A465" i="21"/>
  <c r="D463" i="21"/>
  <c r="C463" i="21"/>
  <c r="B463" i="21"/>
  <c r="A463" i="21"/>
  <c r="E457" i="21"/>
  <c r="F457" i="21"/>
  <c r="G457" i="21"/>
  <c r="H457" i="21"/>
  <c r="I457" i="21"/>
  <c r="J457" i="21"/>
  <c r="K457" i="21"/>
  <c r="L457" i="21"/>
  <c r="M457" i="21"/>
  <c r="N457" i="21"/>
  <c r="O457" i="21"/>
  <c r="P457" i="21"/>
  <c r="Q457" i="21"/>
  <c r="R457" i="21"/>
  <c r="S457" i="21"/>
  <c r="T457" i="21"/>
  <c r="U457" i="21"/>
  <c r="V457" i="21"/>
  <c r="W457" i="21"/>
  <c r="X457" i="21"/>
  <c r="Y457" i="21"/>
  <c r="Z457" i="21"/>
  <c r="AA457" i="21"/>
  <c r="AB457" i="21"/>
  <c r="AC457" i="21"/>
  <c r="AD457" i="21"/>
  <c r="D453" i="21"/>
  <c r="H451" i="21"/>
  <c r="D451" i="21"/>
  <c r="J449" i="21"/>
  <c r="G449" i="21"/>
  <c r="F449" i="21"/>
  <c r="T448" i="21"/>
  <c r="U448" i="21"/>
  <c r="V448" i="21"/>
  <c r="S448" i="21"/>
  <c r="O448" i="21"/>
  <c r="P448" i="21"/>
  <c r="Q448" i="21"/>
  <c r="R448" i="21"/>
  <c r="M448" i="21"/>
  <c r="N448" i="21"/>
  <c r="L448" i="21"/>
  <c r="AD447" i="21"/>
  <c r="AC447" i="21"/>
  <c r="AB447" i="21"/>
  <c r="AA447" i="21"/>
  <c r="Z447" i="21"/>
  <c r="Y447" i="21"/>
  <c r="X447" i="21"/>
  <c r="W447" i="21"/>
  <c r="V447" i="21"/>
  <c r="U447" i="21"/>
  <c r="Q447" i="21"/>
  <c r="Q449" i="21"/>
  <c r="L447" i="21"/>
  <c r="L449" i="21"/>
  <c r="L451" i="21"/>
  <c r="K447" i="21"/>
  <c r="K449" i="21"/>
  <c r="J447" i="21"/>
  <c r="I447" i="21"/>
  <c r="I449" i="21"/>
  <c r="H447" i="21"/>
  <c r="H449" i="21"/>
  <c r="G447" i="21"/>
  <c r="F447" i="21"/>
  <c r="E447" i="21"/>
  <c r="E449" i="21"/>
  <c r="D447" i="21"/>
  <c r="B447" i="21"/>
  <c r="A447" i="21"/>
  <c r="H445" i="21"/>
  <c r="G445" i="21"/>
  <c r="G451" i="21"/>
  <c r="F445" i="21"/>
  <c r="E445" i="21"/>
  <c r="M444" i="21"/>
  <c r="N444" i="21"/>
  <c r="L444" i="21"/>
  <c r="L445" i="21"/>
  <c r="K444" i="21"/>
  <c r="AD443" i="21"/>
  <c r="AC443" i="21"/>
  <c r="AB443" i="21"/>
  <c r="AA443" i="21"/>
  <c r="Z443" i="21"/>
  <c r="Y443" i="21"/>
  <c r="X443" i="21"/>
  <c r="W443" i="21"/>
  <c r="V443" i="21"/>
  <c r="U443" i="21"/>
  <c r="T443" i="21"/>
  <c r="S443" i="21"/>
  <c r="R443" i="21"/>
  <c r="Q443" i="21"/>
  <c r="P443" i="21"/>
  <c r="O443" i="21"/>
  <c r="N443" i="21"/>
  <c r="M443" i="21"/>
  <c r="M445" i="21"/>
  <c r="L443" i="21"/>
  <c r="K443" i="21"/>
  <c r="K445" i="21"/>
  <c r="K451" i="21"/>
  <c r="J443" i="21"/>
  <c r="J445" i="21"/>
  <c r="J451" i="21"/>
  <c r="I443" i="21"/>
  <c r="I445" i="21"/>
  <c r="I451" i="21"/>
  <c r="H443" i="21"/>
  <c r="G443" i="21"/>
  <c r="F443" i="21"/>
  <c r="E443" i="21"/>
  <c r="C443" i="21"/>
  <c r="D443" i="21"/>
  <c r="B443" i="21"/>
  <c r="A443" i="21"/>
  <c r="A442" i="21"/>
  <c r="D440" i="21"/>
  <c r="F436" i="21"/>
  <c r="F438" i="21"/>
  <c r="E438" i="21"/>
  <c r="E440" i="21"/>
  <c r="J437" i="21"/>
  <c r="K437" i="21"/>
  <c r="L437" i="21"/>
  <c r="M437" i="21"/>
  <c r="N437" i="21"/>
  <c r="O437" i="21"/>
  <c r="P437" i="21"/>
  <c r="Q437" i="21"/>
  <c r="R437" i="21"/>
  <c r="I437" i="21"/>
  <c r="H437" i="21"/>
  <c r="G437" i="21"/>
  <c r="AD436" i="21"/>
  <c r="AC436" i="21"/>
  <c r="AB436" i="21"/>
  <c r="AA436" i="21"/>
  <c r="Z436" i="21"/>
  <c r="Y436" i="21"/>
  <c r="X436" i="21"/>
  <c r="W436" i="21"/>
  <c r="V436" i="21"/>
  <c r="U436" i="21"/>
  <c r="T436" i="21"/>
  <c r="S436" i="21"/>
  <c r="R436" i="21"/>
  <c r="Q436" i="21"/>
  <c r="L436" i="21"/>
  <c r="K436" i="21"/>
  <c r="G436" i="21"/>
  <c r="G438" i="21"/>
  <c r="E436" i="21"/>
  <c r="D436" i="21"/>
  <c r="B436" i="21"/>
  <c r="A436" i="21"/>
  <c r="I434" i="21"/>
  <c r="F434" i="21"/>
  <c r="F440" i="21"/>
  <c r="E434" i="21"/>
  <c r="J433" i="21"/>
  <c r="G433" i="21"/>
  <c r="H433" i="21"/>
  <c r="I433" i="21"/>
  <c r="F433" i="21"/>
  <c r="AD432" i="21"/>
  <c r="AC432" i="21"/>
  <c r="AB432" i="21"/>
  <c r="AA432" i="21"/>
  <c r="Z432" i="21"/>
  <c r="Y432" i="21"/>
  <c r="X432" i="21"/>
  <c r="W432" i="21"/>
  <c r="V432" i="21"/>
  <c r="U432" i="21"/>
  <c r="T432" i="21"/>
  <c r="S432" i="21"/>
  <c r="R432" i="21"/>
  <c r="Q432" i="21"/>
  <c r="P432" i="21"/>
  <c r="O432" i="21"/>
  <c r="N432" i="21"/>
  <c r="M432" i="21"/>
  <c r="L432" i="21"/>
  <c r="K432" i="21"/>
  <c r="J432" i="21"/>
  <c r="I432" i="21"/>
  <c r="H432" i="21"/>
  <c r="H434" i="21"/>
  <c r="G432" i="21"/>
  <c r="G434" i="21"/>
  <c r="G440" i="21"/>
  <c r="F432" i="21"/>
  <c r="E432" i="21"/>
  <c r="D432" i="21"/>
  <c r="C432" i="21"/>
  <c r="B432" i="21"/>
  <c r="A432" i="21"/>
  <c r="A431" i="21"/>
  <c r="D426" i="21"/>
  <c r="C426" i="21"/>
  <c r="B426" i="21"/>
  <c r="A426" i="21"/>
  <c r="D421" i="21"/>
  <c r="C421" i="21"/>
  <c r="B419" i="21"/>
  <c r="E410" i="21"/>
  <c r="D410" i="21"/>
  <c r="B408" i="21"/>
  <c r="C405" i="21"/>
  <c r="A404" i="21"/>
  <c r="A408" i="21"/>
  <c r="A402" i="21"/>
  <c r="B401" i="21"/>
  <c r="A401" i="21"/>
  <c r="AD400" i="21"/>
  <c r="AC400" i="21"/>
  <c r="AB400" i="21"/>
  <c r="AA400" i="21"/>
  <c r="Z400" i="21"/>
  <c r="Y400" i="21"/>
  <c r="X400" i="21"/>
  <c r="W400" i="21"/>
  <c r="V400" i="21"/>
  <c r="U400" i="21"/>
  <c r="T400" i="21"/>
  <c r="S400" i="21"/>
  <c r="R400" i="21"/>
  <c r="Q400" i="21"/>
  <c r="P400" i="21"/>
  <c r="O400" i="21"/>
  <c r="N400" i="21"/>
  <c r="M400" i="21"/>
  <c r="L400" i="21"/>
  <c r="K400" i="21"/>
  <c r="J400" i="21"/>
  <c r="I400" i="21"/>
  <c r="H400" i="21"/>
  <c r="G400" i="21"/>
  <c r="F400" i="21"/>
  <c r="E400" i="21"/>
  <c r="D400" i="21"/>
  <c r="B400" i="21"/>
  <c r="A400" i="21"/>
  <c r="AD399" i="21"/>
  <c r="AC399" i="21"/>
  <c r="AB399" i="21"/>
  <c r="AA399" i="21"/>
  <c r="Z399" i="21"/>
  <c r="Y399" i="21"/>
  <c r="X399" i="21"/>
  <c r="W399" i="21"/>
  <c r="V399" i="21"/>
  <c r="U399" i="21"/>
  <c r="T399" i="21"/>
  <c r="S399" i="21"/>
  <c r="R399" i="21"/>
  <c r="Q399" i="21"/>
  <c r="P399" i="21"/>
  <c r="O399" i="21"/>
  <c r="N399" i="21"/>
  <c r="M399" i="21"/>
  <c r="L399" i="21"/>
  <c r="K399" i="21"/>
  <c r="J399" i="21"/>
  <c r="I399" i="21"/>
  <c r="H399" i="21"/>
  <c r="G399" i="21"/>
  <c r="F399" i="21"/>
  <c r="E399" i="21"/>
  <c r="D399" i="21"/>
  <c r="B399" i="21"/>
  <c r="A399" i="21"/>
  <c r="AD398" i="21"/>
  <c r="AC398" i="21"/>
  <c r="AB398" i="21"/>
  <c r="AA398" i="21"/>
  <c r="Z398" i="21"/>
  <c r="Y398" i="21"/>
  <c r="X398" i="21"/>
  <c r="W398" i="21"/>
  <c r="V398" i="21"/>
  <c r="U398" i="21"/>
  <c r="T398" i="21"/>
  <c r="S398" i="21"/>
  <c r="R398" i="21"/>
  <c r="Q398" i="21"/>
  <c r="P398" i="21"/>
  <c r="O398" i="21"/>
  <c r="N398" i="21"/>
  <c r="M398" i="21"/>
  <c r="L398" i="21"/>
  <c r="K398" i="21"/>
  <c r="J398" i="21"/>
  <c r="I398" i="21"/>
  <c r="H398" i="21"/>
  <c r="G398" i="21"/>
  <c r="F398" i="21"/>
  <c r="E398" i="21"/>
  <c r="D398" i="21"/>
  <c r="B398" i="21"/>
  <c r="A398" i="21"/>
  <c r="AD397" i="21"/>
  <c r="AC397" i="21"/>
  <c r="AB397" i="21"/>
  <c r="AA397" i="21"/>
  <c r="Z397" i="21"/>
  <c r="Y397" i="21"/>
  <c r="X397" i="21"/>
  <c r="W397" i="21"/>
  <c r="V397" i="21"/>
  <c r="U397" i="21"/>
  <c r="T397" i="21"/>
  <c r="S397" i="21"/>
  <c r="R397" i="21"/>
  <c r="Q397" i="21"/>
  <c r="P397" i="21"/>
  <c r="O397" i="21"/>
  <c r="N397" i="21"/>
  <c r="M397" i="21"/>
  <c r="L397" i="21"/>
  <c r="K397" i="21"/>
  <c r="J397" i="21"/>
  <c r="I397" i="21"/>
  <c r="H397" i="21"/>
  <c r="G397" i="21"/>
  <c r="F397" i="21"/>
  <c r="E397" i="21"/>
  <c r="D397" i="21"/>
  <c r="B397" i="21"/>
  <c r="A397" i="21"/>
  <c r="AD396" i="21"/>
  <c r="AC396" i="21"/>
  <c r="AB396" i="21"/>
  <c r="AA396" i="21"/>
  <c r="Z396" i="21"/>
  <c r="Y396" i="21"/>
  <c r="X396" i="21"/>
  <c r="W396" i="21"/>
  <c r="V396" i="21"/>
  <c r="U396" i="21"/>
  <c r="T396" i="21"/>
  <c r="S396" i="21"/>
  <c r="R396" i="21"/>
  <c r="Q396" i="21"/>
  <c r="P396" i="21"/>
  <c r="O396" i="21"/>
  <c r="N396" i="21"/>
  <c r="M396" i="21"/>
  <c r="L396" i="21"/>
  <c r="K396" i="21"/>
  <c r="J396" i="21"/>
  <c r="I396" i="21"/>
  <c r="H396" i="21"/>
  <c r="G396" i="21"/>
  <c r="F396" i="21"/>
  <c r="E396" i="21"/>
  <c r="E402" i="21"/>
  <c r="D396" i="21"/>
  <c r="B396" i="21"/>
  <c r="A396" i="21"/>
  <c r="E391" i="21"/>
  <c r="D391" i="21"/>
  <c r="B389" i="21"/>
  <c r="C386" i="21"/>
  <c r="A385" i="21"/>
  <c r="A389" i="21"/>
  <c r="AC384" i="21"/>
  <c r="Y384" i="21"/>
  <c r="L384" i="21"/>
  <c r="H384" i="21"/>
  <c r="F384" i="21"/>
  <c r="AD383" i="21"/>
  <c r="AC383" i="21"/>
  <c r="AB383" i="21"/>
  <c r="AA383" i="21"/>
  <c r="Z383" i="21"/>
  <c r="Y383" i="21"/>
  <c r="X383" i="21"/>
  <c r="X384" i="21"/>
  <c r="W383" i="21"/>
  <c r="W384" i="21"/>
  <c r="V383" i="21"/>
  <c r="U383" i="21"/>
  <c r="U384" i="21"/>
  <c r="T383" i="21"/>
  <c r="S383" i="21"/>
  <c r="R383" i="21"/>
  <c r="Q383" i="21"/>
  <c r="P383" i="21"/>
  <c r="O383" i="21"/>
  <c r="N383" i="21"/>
  <c r="M383" i="21"/>
  <c r="L383" i="21"/>
  <c r="K383" i="21"/>
  <c r="K384" i="21"/>
  <c r="J383" i="21"/>
  <c r="J384" i="21"/>
  <c r="I383" i="21"/>
  <c r="I384" i="21"/>
  <c r="H383" i="21"/>
  <c r="G383" i="21"/>
  <c r="F383" i="21"/>
  <c r="E383" i="21"/>
  <c r="D383" i="21"/>
  <c r="B383" i="21"/>
  <c r="A383" i="21"/>
  <c r="AD382" i="21"/>
  <c r="AD384" i="21"/>
  <c r="AC382" i="21"/>
  <c r="AB382" i="21"/>
  <c r="AB384" i="21"/>
  <c r="AA382" i="21"/>
  <c r="AA384" i="21"/>
  <c r="Z382" i="21"/>
  <c r="Z384" i="21"/>
  <c r="Y382" i="21"/>
  <c r="X382" i="21"/>
  <c r="W382" i="21"/>
  <c r="V382" i="21"/>
  <c r="U382" i="21"/>
  <c r="T382" i="21"/>
  <c r="T384" i="21"/>
  <c r="S382" i="21"/>
  <c r="S384" i="21"/>
  <c r="R382" i="21"/>
  <c r="R384" i="21"/>
  <c r="Q382" i="21"/>
  <c r="Q384" i="21"/>
  <c r="P382" i="21"/>
  <c r="P384" i="21"/>
  <c r="O382" i="21"/>
  <c r="O384" i="21"/>
  <c r="N382" i="21"/>
  <c r="N384" i="21"/>
  <c r="M382" i="21"/>
  <c r="L382" i="21"/>
  <c r="K382" i="21"/>
  <c r="J382" i="21"/>
  <c r="I382" i="21"/>
  <c r="H382" i="21"/>
  <c r="G382" i="21"/>
  <c r="G384" i="21"/>
  <c r="F382" i="21"/>
  <c r="E382" i="21"/>
  <c r="E384" i="21"/>
  <c r="D382" i="21"/>
  <c r="D384" i="21"/>
  <c r="B382" i="21"/>
  <c r="A382" i="21"/>
  <c r="B378" i="21"/>
  <c r="A377" i="21"/>
  <c r="AD376" i="21"/>
  <c r="AC376" i="21"/>
  <c r="AB376" i="21"/>
  <c r="AA376" i="21"/>
  <c r="Z376" i="21"/>
  <c r="Y376" i="21"/>
  <c r="X376" i="21"/>
  <c r="W376" i="21"/>
  <c r="V376" i="21"/>
  <c r="U376" i="21"/>
  <c r="T376" i="21"/>
  <c r="S376" i="21"/>
  <c r="R376" i="21"/>
  <c r="Q376" i="21"/>
  <c r="P376" i="21"/>
  <c r="O376" i="21"/>
  <c r="N376" i="21"/>
  <c r="M376" i="21"/>
  <c r="L376" i="21"/>
  <c r="K376" i="21"/>
  <c r="J376" i="21"/>
  <c r="I376" i="21"/>
  <c r="H376" i="21"/>
  <c r="G376" i="21"/>
  <c r="F376" i="21"/>
  <c r="E376" i="21"/>
  <c r="D376" i="21"/>
  <c r="B376" i="21"/>
  <c r="A376" i="21"/>
  <c r="D373" i="21"/>
  <c r="F372" i="21"/>
  <c r="G372" i="21"/>
  <c r="H372" i="21"/>
  <c r="I372" i="21"/>
  <c r="J372" i="21"/>
  <c r="K372" i="21"/>
  <c r="L372" i="21"/>
  <c r="M372" i="21"/>
  <c r="N372" i="21"/>
  <c r="O372" i="21"/>
  <c r="P372" i="21"/>
  <c r="Q372" i="21"/>
  <c r="R372" i="21"/>
  <c r="S372" i="21"/>
  <c r="T372" i="21"/>
  <c r="U372" i="21"/>
  <c r="V372" i="21"/>
  <c r="W372" i="21"/>
  <c r="X372" i="21"/>
  <c r="Y372" i="21"/>
  <c r="Z372" i="21"/>
  <c r="AA372" i="21"/>
  <c r="AB372" i="21"/>
  <c r="AC372" i="21"/>
  <c r="AD372" i="21"/>
  <c r="E372" i="21"/>
  <c r="A359" i="21"/>
  <c r="D357" i="21"/>
  <c r="B357" i="21"/>
  <c r="A357" i="21"/>
  <c r="E356" i="21"/>
  <c r="C352" i="21"/>
  <c r="E350" i="21"/>
  <c r="E354" i="21"/>
  <c r="E401" i="21"/>
  <c r="D350" i="21"/>
  <c r="A350" i="21"/>
  <c r="K349" i="21"/>
  <c r="L349" i="21"/>
  <c r="M349" i="21"/>
  <c r="N349" i="21"/>
  <c r="O349" i="21"/>
  <c r="P349" i="21"/>
  <c r="Q349" i="21"/>
  <c r="R349" i="21"/>
  <c r="S349" i="21"/>
  <c r="T349" i="21"/>
  <c r="U349" i="21"/>
  <c r="V349" i="21"/>
  <c r="W349" i="21"/>
  <c r="X349" i="21"/>
  <c r="Y349" i="21"/>
  <c r="Z349" i="21"/>
  <c r="AA349" i="21"/>
  <c r="AB349" i="21"/>
  <c r="AC349" i="21"/>
  <c r="AD349" i="21"/>
  <c r="I349" i="21"/>
  <c r="J349" i="21"/>
  <c r="F349" i="21"/>
  <c r="G349" i="21"/>
  <c r="H349" i="21"/>
  <c r="E349" i="21"/>
  <c r="AD346" i="21"/>
  <c r="AC346" i="21"/>
  <c r="AB346" i="21"/>
  <c r="AA346" i="21"/>
  <c r="Z346" i="21"/>
  <c r="Y346" i="21"/>
  <c r="X346" i="21"/>
  <c r="W346" i="21"/>
  <c r="V346" i="21"/>
  <c r="U346" i="21"/>
  <c r="T346" i="21"/>
  <c r="S346" i="21"/>
  <c r="R346" i="21"/>
  <c r="Q346" i="21"/>
  <c r="P346" i="21"/>
  <c r="O346" i="21"/>
  <c r="N346" i="21"/>
  <c r="M346" i="21"/>
  <c r="L346" i="21"/>
  <c r="K346" i="21"/>
  <c r="J346" i="21"/>
  <c r="I346" i="21"/>
  <c r="H346" i="21"/>
  <c r="G346" i="21"/>
  <c r="F346" i="21"/>
  <c r="E346" i="21"/>
  <c r="D346" i="21"/>
  <c r="C345" i="21"/>
  <c r="C344" i="21"/>
  <c r="C343" i="21"/>
  <c r="C342" i="21"/>
  <c r="C341" i="21"/>
  <c r="C340" i="21"/>
  <c r="C339" i="21"/>
  <c r="C338" i="21"/>
  <c r="D332" i="21"/>
  <c r="C332" i="21"/>
  <c r="B332" i="21"/>
  <c r="A332" i="21"/>
  <c r="B329" i="21"/>
  <c r="A329" i="21"/>
  <c r="B328" i="21"/>
  <c r="A321" i="21"/>
  <c r="A706" i="21"/>
  <c r="D320" i="21"/>
  <c r="B320" i="21"/>
  <c r="A320" i="21"/>
  <c r="A311" i="21"/>
  <c r="AD310" i="21"/>
  <c r="C310" i="21"/>
  <c r="E309" i="21"/>
  <c r="F309" i="21"/>
  <c r="G309" i="21"/>
  <c r="H309" i="21"/>
  <c r="I309" i="21"/>
  <c r="J309" i="21"/>
  <c r="K309" i="21"/>
  <c r="L309" i="21"/>
  <c r="M309" i="21"/>
  <c r="N309" i="21"/>
  <c r="O309" i="21"/>
  <c r="P309" i="21"/>
  <c r="Q309" i="21"/>
  <c r="R309" i="21"/>
  <c r="S309" i="21"/>
  <c r="T309" i="21"/>
  <c r="U309" i="21"/>
  <c r="V309" i="21"/>
  <c r="W309" i="21"/>
  <c r="X309" i="21"/>
  <c r="Y309" i="21"/>
  <c r="Z309" i="21"/>
  <c r="AA309" i="21"/>
  <c r="AB309" i="21"/>
  <c r="AC309" i="21"/>
  <c r="AD309" i="21"/>
  <c r="B302" i="21"/>
  <c r="A302" i="21"/>
  <c r="B301" i="21"/>
  <c r="A301" i="21"/>
  <c r="B297" i="21"/>
  <c r="A297" i="21"/>
  <c r="B296" i="21"/>
  <c r="A296" i="21"/>
  <c r="D294" i="21"/>
  <c r="C294" i="21"/>
  <c r="B294" i="21"/>
  <c r="A294" i="21"/>
  <c r="G291" i="21"/>
  <c r="F291" i="21"/>
  <c r="E291" i="21"/>
  <c r="D291" i="21"/>
  <c r="B291" i="21"/>
  <c r="A291" i="21"/>
  <c r="D289" i="21"/>
  <c r="B289" i="21"/>
  <c r="A289" i="21"/>
  <c r="A288" i="21"/>
  <c r="F274" i="21"/>
  <c r="E274" i="21"/>
  <c r="D274" i="21"/>
  <c r="B274" i="21"/>
  <c r="A274" i="21"/>
  <c r="B273" i="21"/>
  <c r="A273" i="21"/>
  <c r="F270" i="21"/>
  <c r="E270" i="21"/>
  <c r="D270" i="21"/>
  <c r="B270" i="21"/>
  <c r="A270" i="21"/>
  <c r="B269" i="21"/>
  <c r="A269" i="21"/>
  <c r="G266" i="21"/>
  <c r="F266" i="21"/>
  <c r="E266" i="21"/>
  <c r="D266" i="21"/>
  <c r="B266" i="21"/>
  <c r="A266" i="21"/>
  <c r="B265" i="21"/>
  <c r="A265" i="21"/>
  <c r="H256" i="21"/>
  <c r="G256" i="21"/>
  <c r="F256" i="21"/>
  <c r="E256" i="21"/>
  <c r="D256" i="21"/>
  <c r="B256" i="21"/>
  <c r="A256" i="21"/>
  <c r="D254" i="21"/>
  <c r="A254" i="21"/>
  <c r="D253" i="21"/>
  <c r="B253" i="21"/>
  <c r="A253" i="21"/>
  <c r="A252" i="21"/>
  <c r="B251" i="21"/>
  <c r="A251" i="21"/>
  <c r="I247" i="21"/>
  <c r="H247" i="21"/>
  <c r="G247" i="21"/>
  <c r="F247" i="21"/>
  <c r="E247" i="21"/>
  <c r="D247" i="21"/>
  <c r="B247" i="21"/>
  <c r="A247" i="21"/>
  <c r="D243" i="21"/>
  <c r="B243" i="21"/>
  <c r="A243" i="21"/>
  <c r="D242" i="21"/>
  <c r="B242" i="21"/>
  <c r="A242" i="21"/>
  <c r="D241" i="21"/>
  <c r="B241" i="21"/>
  <c r="A241" i="21"/>
  <c r="D240" i="21"/>
  <c r="B240" i="21"/>
  <c r="A240" i="21"/>
  <c r="D239" i="21"/>
  <c r="B239" i="21"/>
  <c r="A239" i="21"/>
  <c r="D238" i="21"/>
  <c r="B238" i="21"/>
  <c r="A238" i="21"/>
  <c r="D237" i="21"/>
  <c r="B237" i="21"/>
  <c r="A237" i="21"/>
  <c r="D236" i="21"/>
  <c r="B236" i="21"/>
  <c r="A236" i="21"/>
  <c r="D235" i="21"/>
  <c r="B235" i="21"/>
  <c r="A235" i="21"/>
  <c r="D234" i="21"/>
  <c r="B234" i="21"/>
  <c r="A234" i="21"/>
  <c r="D233" i="21"/>
  <c r="B233" i="21"/>
  <c r="A233" i="21"/>
  <c r="A232" i="21"/>
  <c r="B231" i="21"/>
  <c r="A231" i="21"/>
  <c r="E227" i="21"/>
  <c r="D227" i="21"/>
  <c r="B227" i="21"/>
  <c r="A227" i="21"/>
  <c r="D223" i="21"/>
  <c r="B223" i="21"/>
  <c r="A223" i="21"/>
  <c r="D218" i="21"/>
  <c r="B218" i="21"/>
  <c r="A218" i="21"/>
  <c r="D217" i="21"/>
  <c r="B217" i="21"/>
  <c r="A217" i="21"/>
  <c r="D216" i="21"/>
  <c r="B216" i="21"/>
  <c r="A216" i="21"/>
  <c r="D215" i="21"/>
  <c r="D219" i="21"/>
  <c r="D220" i="21"/>
  <c r="B215" i="21"/>
  <c r="A215" i="21"/>
  <c r="D214" i="21"/>
  <c r="B214" i="21"/>
  <c r="A214" i="21"/>
  <c r="A210" i="21"/>
  <c r="D206" i="21"/>
  <c r="C206" i="21"/>
  <c r="B206" i="21"/>
  <c r="A206" i="21"/>
  <c r="N203" i="21"/>
  <c r="O203" i="21"/>
  <c r="P203" i="21"/>
  <c r="Q203" i="21"/>
  <c r="R203" i="21"/>
  <c r="S203" i="21"/>
  <c r="T203" i="21"/>
  <c r="U203" i="21"/>
  <c r="V203" i="21"/>
  <c r="W203" i="21"/>
  <c r="X203" i="21"/>
  <c r="Y203" i="21"/>
  <c r="Z203" i="21"/>
  <c r="AA203" i="21"/>
  <c r="AB203" i="21"/>
  <c r="AC203" i="21"/>
  <c r="AD203" i="21"/>
  <c r="H203" i="21"/>
  <c r="I203" i="21"/>
  <c r="J203" i="21"/>
  <c r="K203" i="21"/>
  <c r="L203" i="21"/>
  <c r="M203" i="21"/>
  <c r="G203" i="21"/>
  <c r="F203" i="21"/>
  <c r="E203" i="21"/>
  <c r="AD200" i="21"/>
  <c r="G199" i="21"/>
  <c r="H199" i="21"/>
  <c r="I199" i="21"/>
  <c r="J199" i="21"/>
  <c r="K199" i="21"/>
  <c r="L199" i="21"/>
  <c r="M199" i="21"/>
  <c r="N199" i="21"/>
  <c r="O199" i="21"/>
  <c r="P199" i="21"/>
  <c r="Q199" i="21"/>
  <c r="R199" i="21"/>
  <c r="S199" i="21"/>
  <c r="T199" i="21"/>
  <c r="U199" i="21"/>
  <c r="V199" i="21"/>
  <c r="W199" i="21"/>
  <c r="X199" i="21"/>
  <c r="Y199" i="21"/>
  <c r="Z199" i="21"/>
  <c r="AA199" i="21"/>
  <c r="AB199" i="21"/>
  <c r="AC199" i="21"/>
  <c r="AD199" i="21"/>
  <c r="E199" i="21"/>
  <c r="F199" i="21"/>
  <c r="X194" i="21"/>
  <c r="Y194" i="21"/>
  <c r="Z194" i="21"/>
  <c r="AA194" i="21"/>
  <c r="AB194" i="21"/>
  <c r="AC194" i="21"/>
  <c r="AD194" i="21"/>
  <c r="G194" i="21"/>
  <c r="H194" i="21"/>
  <c r="I194" i="21"/>
  <c r="J194" i="21"/>
  <c r="K194" i="21"/>
  <c r="L194" i="21"/>
  <c r="M194" i="21"/>
  <c r="N194" i="21"/>
  <c r="O194" i="21"/>
  <c r="P194" i="21"/>
  <c r="Q194" i="21"/>
  <c r="R194" i="21"/>
  <c r="S194" i="21"/>
  <c r="T194" i="21"/>
  <c r="U194" i="21"/>
  <c r="V194" i="21"/>
  <c r="W194" i="21"/>
  <c r="F194" i="21"/>
  <c r="E194" i="21"/>
  <c r="AD191" i="21"/>
  <c r="J190" i="21"/>
  <c r="K190" i="21"/>
  <c r="L190" i="21"/>
  <c r="M190" i="21"/>
  <c r="N190" i="21"/>
  <c r="O190" i="21"/>
  <c r="P190" i="21"/>
  <c r="Q190" i="21"/>
  <c r="R190" i="21"/>
  <c r="S190" i="21"/>
  <c r="T190" i="21"/>
  <c r="U190" i="21"/>
  <c r="V190" i="21"/>
  <c r="W190" i="21"/>
  <c r="X190" i="21"/>
  <c r="Y190" i="21"/>
  <c r="Z190" i="21"/>
  <c r="AA190" i="21"/>
  <c r="AB190" i="21"/>
  <c r="AC190" i="21"/>
  <c r="AD190" i="21"/>
  <c r="I190" i="21"/>
  <c r="H190" i="21"/>
  <c r="F190" i="21"/>
  <c r="G190" i="21"/>
  <c r="E190" i="21"/>
  <c r="D187" i="21"/>
  <c r="C187" i="21"/>
  <c r="B187" i="21"/>
  <c r="A187" i="21"/>
  <c r="A184" i="21"/>
  <c r="A183" i="21"/>
  <c r="A182" i="21"/>
  <c r="A181" i="21"/>
  <c r="F177" i="21"/>
  <c r="G177" i="21"/>
  <c r="E177" i="21"/>
  <c r="F176" i="21"/>
  <c r="G176" i="21"/>
  <c r="H176" i="21"/>
  <c r="I176" i="21"/>
  <c r="J176" i="21"/>
  <c r="K176" i="21"/>
  <c r="L176" i="21"/>
  <c r="M176" i="21"/>
  <c r="N176" i="21"/>
  <c r="O176" i="21"/>
  <c r="P176" i="21"/>
  <c r="Q176" i="21"/>
  <c r="R176" i="21"/>
  <c r="S176" i="21"/>
  <c r="T176" i="21"/>
  <c r="U176" i="21"/>
  <c r="V176" i="21"/>
  <c r="W176" i="21"/>
  <c r="X176" i="21"/>
  <c r="Y176" i="21"/>
  <c r="Z176" i="21"/>
  <c r="AA176" i="21"/>
  <c r="AB176" i="21"/>
  <c r="AC176" i="21"/>
  <c r="AD176" i="21"/>
  <c r="E176" i="21"/>
  <c r="E170" i="21"/>
  <c r="F165" i="21"/>
  <c r="E165" i="21"/>
  <c r="H164" i="21"/>
  <c r="I164" i="21"/>
  <c r="J164" i="21"/>
  <c r="K164" i="21"/>
  <c r="L164" i="21"/>
  <c r="M164" i="21"/>
  <c r="N164" i="21"/>
  <c r="O164" i="21"/>
  <c r="P164" i="21"/>
  <c r="Q164" i="21"/>
  <c r="R164" i="21"/>
  <c r="S164" i="21"/>
  <c r="T164" i="21"/>
  <c r="U164" i="21"/>
  <c r="V164" i="21"/>
  <c r="W164" i="21"/>
  <c r="X164" i="21"/>
  <c r="Y164" i="21"/>
  <c r="Z164" i="21"/>
  <c r="AA164" i="21"/>
  <c r="AB164" i="21"/>
  <c r="AC164" i="21"/>
  <c r="AD164" i="21"/>
  <c r="E164" i="21"/>
  <c r="F164" i="21"/>
  <c r="G164" i="21"/>
  <c r="F163" i="21"/>
  <c r="G163" i="21"/>
  <c r="H163" i="21"/>
  <c r="I163" i="21"/>
  <c r="J163" i="21"/>
  <c r="K163" i="21"/>
  <c r="L163" i="21"/>
  <c r="M163" i="21"/>
  <c r="N163" i="21"/>
  <c r="O163" i="21"/>
  <c r="P163" i="21"/>
  <c r="Q163" i="21"/>
  <c r="R163" i="21"/>
  <c r="S163" i="21"/>
  <c r="T163" i="21"/>
  <c r="U163" i="21"/>
  <c r="V163" i="21"/>
  <c r="W163" i="21"/>
  <c r="X163" i="21"/>
  <c r="Y163" i="21"/>
  <c r="Z163" i="21"/>
  <c r="AA163" i="21"/>
  <c r="AB163" i="21"/>
  <c r="AC163" i="21"/>
  <c r="AD163" i="21"/>
  <c r="E163" i="21"/>
  <c r="G162" i="21"/>
  <c r="H162" i="21"/>
  <c r="I162" i="21"/>
  <c r="J162" i="21"/>
  <c r="K162" i="21"/>
  <c r="L162" i="21"/>
  <c r="M162" i="21"/>
  <c r="N162" i="21"/>
  <c r="O162" i="21"/>
  <c r="P162" i="21"/>
  <c r="Q162" i="21"/>
  <c r="R162" i="21"/>
  <c r="S162" i="21"/>
  <c r="T162" i="21"/>
  <c r="U162" i="21"/>
  <c r="V162" i="21"/>
  <c r="W162" i="21"/>
  <c r="X162" i="21"/>
  <c r="Y162" i="21"/>
  <c r="Z162" i="21"/>
  <c r="AA162" i="21"/>
  <c r="AB162" i="21"/>
  <c r="AC162" i="21"/>
  <c r="AD162" i="21"/>
  <c r="E162" i="21"/>
  <c r="F162" i="21"/>
  <c r="F159" i="21"/>
  <c r="E159" i="21"/>
  <c r="E178" i="21"/>
  <c r="D159" i="21"/>
  <c r="D178" i="21"/>
  <c r="E158" i="21"/>
  <c r="D158" i="21"/>
  <c r="E157" i="21"/>
  <c r="D157" i="21"/>
  <c r="E156" i="21"/>
  <c r="E166" i="21"/>
  <c r="D156" i="21"/>
  <c r="D166" i="21"/>
  <c r="AD153" i="21"/>
  <c r="X153" i="21"/>
  <c r="X154" i="21"/>
  <c r="V153" i="21"/>
  <c r="H153" i="21"/>
  <c r="G153" i="21"/>
  <c r="F153" i="21"/>
  <c r="Z152" i="21"/>
  <c r="X152" i="21"/>
  <c r="T152" i="21"/>
  <c r="S152" i="21"/>
  <c r="D149" i="21"/>
  <c r="C149" i="21"/>
  <c r="B149" i="21"/>
  <c r="A149" i="21"/>
  <c r="AD146" i="21"/>
  <c r="AC146" i="21"/>
  <c r="AB146" i="21"/>
  <c r="AC153" i="21"/>
  <c r="AA146" i="21"/>
  <c r="Z146" i="21"/>
  <c r="AA153" i="21"/>
  <c r="Y146" i="21"/>
  <c r="Z153" i="21"/>
  <c r="X146" i="21"/>
  <c r="W146" i="21"/>
  <c r="V146" i="21"/>
  <c r="W153" i="21"/>
  <c r="U146" i="21"/>
  <c r="I146" i="21"/>
  <c r="H146" i="21"/>
  <c r="G146" i="21"/>
  <c r="F146" i="21"/>
  <c r="E146" i="21"/>
  <c r="D146" i="21"/>
  <c r="AD145" i="21"/>
  <c r="AC145" i="21"/>
  <c r="AB145" i="21"/>
  <c r="AC152" i="21"/>
  <c r="AA145" i="21"/>
  <c r="AB152" i="21"/>
  <c r="Z145" i="21"/>
  <c r="AA152" i="21"/>
  <c r="AA154" i="21"/>
  <c r="Y145" i="21"/>
  <c r="X145" i="21"/>
  <c r="Y152" i="21"/>
  <c r="W145" i="21"/>
  <c r="V145" i="21"/>
  <c r="W152" i="21"/>
  <c r="W154" i="21"/>
  <c r="U145" i="21"/>
  <c r="T145" i="21"/>
  <c r="S145" i="21"/>
  <c r="R145" i="21"/>
  <c r="R152" i="21"/>
  <c r="Q145" i="21"/>
  <c r="D145" i="21"/>
  <c r="I144" i="21"/>
  <c r="J144" i="21"/>
  <c r="K144" i="21"/>
  <c r="G144" i="21"/>
  <c r="H144" i="21"/>
  <c r="W140" i="21"/>
  <c r="U140" i="21"/>
  <c r="F123" i="21"/>
  <c r="F140" i="21"/>
  <c r="E140" i="21"/>
  <c r="AD139" i="21"/>
  <c r="AC139" i="21"/>
  <c r="AB139" i="21"/>
  <c r="AA139" i="21"/>
  <c r="Z139" i="21"/>
  <c r="Y139" i="21"/>
  <c r="X139" i="21"/>
  <c r="W139" i="21"/>
  <c r="V139" i="21"/>
  <c r="U139" i="21"/>
  <c r="R139" i="21"/>
  <c r="Q139" i="21"/>
  <c r="L139" i="21"/>
  <c r="K139" i="21"/>
  <c r="G139" i="21"/>
  <c r="F139" i="21"/>
  <c r="E139" i="21"/>
  <c r="D139" i="21"/>
  <c r="AD138" i="21"/>
  <c r="AD579" i="21"/>
  <c r="AD581" i="21"/>
  <c r="AC138" i="21"/>
  <c r="AC579" i="21"/>
  <c r="AC581" i="21"/>
  <c r="AB138" i="21"/>
  <c r="AB579" i="21"/>
  <c r="AB581" i="21"/>
  <c r="AA138" i="21"/>
  <c r="AA579" i="21"/>
  <c r="AA581" i="21"/>
  <c r="Z138" i="21"/>
  <c r="Z579" i="21"/>
  <c r="Z581" i="21"/>
  <c r="Y138" i="21"/>
  <c r="Y579" i="21"/>
  <c r="Y581" i="21"/>
  <c r="X138" i="21"/>
  <c r="X579" i="21"/>
  <c r="X581" i="21"/>
  <c r="W138" i="21"/>
  <c r="W579" i="21"/>
  <c r="W581" i="21"/>
  <c r="V138" i="21"/>
  <c r="V579" i="21"/>
  <c r="V581" i="21"/>
  <c r="U138" i="21"/>
  <c r="U579" i="21"/>
  <c r="U581" i="21"/>
  <c r="T138" i="21"/>
  <c r="T579" i="21"/>
  <c r="T581" i="21"/>
  <c r="S138" i="21"/>
  <c r="S579" i="21"/>
  <c r="S581" i="21"/>
  <c r="R138" i="21"/>
  <c r="R579" i="21"/>
  <c r="R581" i="21"/>
  <c r="Q138" i="21"/>
  <c r="Q579" i="21"/>
  <c r="Q581" i="21"/>
  <c r="P138" i="21"/>
  <c r="P579" i="21"/>
  <c r="P581" i="21"/>
  <c r="O138" i="21"/>
  <c r="O579" i="21"/>
  <c r="O581" i="21"/>
  <c r="N138" i="21"/>
  <c r="N579" i="21"/>
  <c r="N581" i="21"/>
  <c r="M138" i="21"/>
  <c r="M579" i="21"/>
  <c r="M581" i="21"/>
  <c r="L138" i="21"/>
  <c r="L579" i="21"/>
  <c r="L581" i="21"/>
  <c r="K138" i="21"/>
  <c r="K579" i="21"/>
  <c r="K581" i="21"/>
  <c r="J138" i="21"/>
  <c r="J579" i="21"/>
  <c r="J581" i="21"/>
  <c r="I138" i="21"/>
  <c r="I579" i="21"/>
  <c r="I581" i="21"/>
  <c r="H138" i="21"/>
  <c r="H579" i="21"/>
  <c r="H581" i="21"/>
  <c r="G138" i="21"/>
  <c r="G579" i="21"/>
  <c r="G581" i="21"/>
  <c r="F138" i="21"/>
  <c r="F579" i="21"/>
  <c r="F581" i="21"/>
  <c r="E138" i="21"/>
  <c r="E579" i="21"/>
  <c r="E581" i="21"/>
  <c r="E587" i="21"/>
  <c r="D138" i="21"/>
  <c r="D579" i="21"/>
  <c r="AD135" i="21"/>
  <c r="AC135" i="21"/>
  <c r="AB135" i="21"/>
  <c r="AA135" i="21"/>
  <c r="Z135" i="21"/>
  <c r="Y135" i="21"/>
  <c r="X135" i="21"/>
  <c r="W135" i="21"/>
  <c r="V135" i="21"/>
  <c r="U135" i="21"/>
  <c r="L132" i="21"/>
  <c r="L135" i="21"/>
  <c r="K135" i="21"/>
  <c r="J135" i="21"/>
  <c r="I135" i="21"/>
  <c r="H135" i="21"/>
  <c r="G135" i="21"/>
  <c r="F135" i="21"/>
  <c r="E135" i="21"/>
  <c r="D135" i="21"/>
  <c r="AD134" i="21"/>
  <c r="AC134" i="21"/>
  <c r="AB134" i="21"/>
  <c r="AB140" i="21"/>
  <c r="AA134" i="21"/>
  <c r="Z134" i="21"/>
  <c r="Y134" i="21"/>
  <c r="X134" i="21"/>
  <c r="W134" i="21"/>
  <c r="V134" i="21"/>
  <c r="U134" i="21"/>
  <c r="M134" i="21"/>
  <c r="L134" i="21"/>
  <c r="K134" i="21"/>
  <c r="J134" i="21"/>
  <c r="I134" i="21"/>
  <c r="H134" i="21"/>
  <c r="G134" i="21"/>
  <c r="F134" i="21"/>
  <c r="E134" i="21"/>
  <c r="D134" i="21"/>
  <c r="M132" i="21"/>
  <c r="N132" i="21"/>
  <c r="O132" i="21"/>
  <c r="P132" i="21"/>
  <c r="Q132" i="21"/>
  <c r="R130" i="21"/>
  <c r="M130" i="21"/>
  <c r="C129" i="21"/>
  <c r="AD126" i="21"/>
  <c r="AC126" i="21"/>
  <c r="AB126" i="21"/>
  <c r="AA126" i="21"/>
  <c r="Z126" i="21"/>
  <c r="Y126" i="21"/>
  <c r="X126" i="21"/>
  <c r="W126" i="21"/>
  <c r="V126" i="21"/>
  <c r="U126" i="21"/>
  <c r="T126" i="21"/>
  <c r="S126" i="21"/>
  <c r="R126" i="21"/>
  <c r="Q126" i="21"/>
  <c r="G121" i="21"/>
  <c r="G126" i="21"/>
  <c r="F126" i="21"/>
  <c r="E126" i="21"/>
  <c r="D126" i="21"/>
  <c r="AD125" i="21"/>
  <c r="AC125" i="21"/>
  <c r="AB125" i="21"/>
  <c r="AA125" i="21"/>
  <c r="Z125" i="21"/>
  <c r="Y125" i="21"/>
  <c r="X125" i="21"/>
  <c r="W125" i="21"/>
  <c r="V125" i="21"/>
  <c r="U125" i="21"/>
  <c r="T125" i="21"/>
  <c r="S125" i="21"/>
  <c r="R125" i="21"/>
  <c r="Q125" i="21"/>
  <c r="G120" i="21"/>
  <c r="G125" i="21"/>
  <c r="F125" i="21"/>
  <c r="E125" i="21"/>
  <c r="D125" i="21"/>
  <c r="AD124" i="21"/>
  <c r="AC124" i="21"/>
  <c r="AB124" i="21"/>
  <c r="AA124" i="21"/>
  <c r="Z124" i="21"/>
  <c r="Y124" i="21"/>
  <c r="X124" i="21"/>
  <c r="W124" i="21"/>
  <c r="V124" i="21"/>
  <c r="U124" i="21"/>
  <c r="T124" i="21"/>
  <c r="S124" i="21"/>
  <c r="R124" i="21"/>
  <c r="Q124" i="21"/>
  <c r="F124" i="21"/>
  <c r="E124" i="21"/>
  <c r="D124" i="21"/>
  <c r="AD123" i="21"/>
  <c r="AD140" i="21"/>
  <c r="AC123" i="21"/>
  <c r="AC140" i="21"/>
  <c r="AB123" i="21"/>
  <c r="AA123" i="21"/>
  <c r="Z123" i="21"/>
  <c r="Y123" i="21"/>
  <c r="Y140" i="21"/>
  <c r="X123" i="21"/>
  <c r="X140" i="21"/>
  <c r="W123" i="21"/>
  <c r="V123" i="21"/>
  <c r="U123" i="21"/>
  <c r="T123" i="21"/>
  <c r="S123" i="21"/>
  <c r="R123" i="21"/>
  <c r="Q123" i="21"/>
  <c r="G123" i="21"/>
  <c r="G140" i="21"/>
  <c r="E123" i="21"/>
  <c r="D123" i="21"/>
  <c r="H121" i="21"/>
  <c r="I121" i="21"/>
  <c r="J121" i="21"/>
  <c r="K121" i="21"/>
  <c r="H120" i="21"/>
  <c r="I120" i="21"/>
  <c r="J120" i="21"/>
  <c r="K120" i="21"/>
  <c r="G119" i="21"/>
  <c r="H119" i="21"/>
  <c r="I119" i="21"/>
  <c r="J119" i="21"/>
  <c r="K119" i="21"/>
  <c r="M117" i="21"/>
  <c r="H117" i="21"/>
  <c r="C116" i="21"/>
  <c r="D113" i="21"/>
  <c r="C113" i="21"/>
  <c r="B113" i="21"/>
  <c r="A113" i="21"/>
  <c r="E95" i="21"/>
  <c r="D95" i="21"/>
  <c r="A95" i="21"/>
  <c r="D94" i="21"/>
  <c r="C94" i="21"/>
  <c r="B94" i="21"/>
  <c r="A94" i="21"/>
  <c r="B21" i="21"/>
  <c r="A21" i="21"/>
  <c r="B20" i="21"/>
  <c r="A20" i="21"/>
  <c r="B18" i="21"/>
  <c r="A18" i="21"/>
  <c r="B17" i="21"/>
  <c r="B16" i="21"/>
  <c r="B15" i="21"/>
  <c r="B14" i="21"/>
  <c r="B12" i="21"/>
  <c r="A12" i="21"/>
  <c r="B11" i="21"/>
  <c r="A11" i="21"/>
  <c r="B9" i="21"/>
  <c r="A9" i="21"/>
  <c r="B8" i="21"/>
  <c r="A8" i="21"/>
  <c r="B7" i="21"/>
  <c r="A7" i="21"/>
  <c r="B6" i="21"/>
  <c r="A6" i="21"/>
  <c r="A1" i="21"/>
  <c r="E108" i="20"/>
  <c r="F108" i="20"/>
  <c r="G108" i="20"/>
  <c r="H108" i="20"/>
  <c r="E107" i="20"/>
  <c r="F107" i="20"/>
  <c r="E106" i="20"/>
  <c r="F106" i="20"/>
  <c r="E105" i="20"/>
  <c r="F105" i="20"/>
  <c r="G105" i="20"/>
  <c r="H105" i="20"/>
  <c r="I105" i="20"/>
  <c r="J105" i="20"/>
  <c r="K105" i="20"/>
  <c r="L105" i="20"/>
  <c r="M105" i="20"/>
  <c r="N105" i="20"/>
  <c r="O105" i="20"/>
  <c r="P105" i="20"/>
  <c r="Q105" i="20"/>
  <c r="R105" i="20"/>
  <c r="S105" i="20"/>
  <c r="T105" i="20"/>
  <c r="U105" i="20"/>
  <c r="V105" i="20"/>
  <c r="W105" i="20"/>
  <c r="X105" i="20"/>
  <c r="Y105" i="20"/>
  <c r="Z105" i="20"/>
  <c r="AA105" i="20"/>
  <c r="AB105" i="20"/>
  <c r="AC105" i="20"/>
  <c r="AD105" i="20"/>
  <c r="E98" i="20"/>
  <c r="F98" i="20"/>
  <c r="G98" i="20"/>
  <c r="G697" i="20"/>
  <c r="D764" i="20"/>
  <c r="C764" i="20"/>
  <c r="B764" i="20"/>
  <c r="A764" i="20"/>
  <c r="A759" i="20"/>
  <c r="A20" i="20"/>
  <c r="AD756" i="20"/>
  <c r="AC756" i="20"/>
  <c r="AB756" i="20"/>
  <c r="AA756" i="20"/>
  <c r="Z756" i="20"/>
  <c r="Y756" i="20"/>
  <c r="C756" i="20"/>
  <c r="B756" i="20"/>
  <c r="A756" i="20"/>
  <c r="AD755" i="20"/>
  <c r="AC755" i="20"/>
  <c r="AB755" i="20"/>
  <c r="AA755" i="20"/>
  <c r="Z755" i="20"/>
  <c r="Y755" i="20"/>
  <c r="D755" i="20"/>
  <c r="C755" i="20"/>
  <c r="B755" i="20"/>
  <c r="A755" i="20"/>
  <c r="A752" i="20"/>
  <c r="A748" i="20"/>
  <c r="B747" i="20"/>
  <c r="B746" i="20"/>
  <c r="B745" i="20"/>
  <c r="B744" i="20"/>
  <c r="D741" i="20"/>
  <c r="C741" i="20"/>
  <c r="B741" i="20"/>
  <c r="A741" i="20"/>
  <c r="A739" i="20"/>
  <c r="F738" i="20"/>
  <c r="E738" i="20"/>
  <c r="D738" i="20"/>
  <c r="B738" i="20"/>
  <c r="A738" i="20"/>
  <c r="D732" i="20"/>
  <c r="B732" i="20"/>
  <c r="A732" i="20"/>
  <c r="D727" i="20"/>
  <c r="B727" i="20"/>
  <c r="A727" i="20"/>
  <c r="D726" i="20"/>
  <c r="B726" i="20"/>
  <c r="A726" i="20"/>
  <c r="A724" i="20"/>
  <c r="B711" i="20"/>
  <c r="A710" i="20"/>
  <c r="B709" i="20"/>
  <c r="A709" i="20"/>
  <c r="B708" i="20"/>
  <c r="B706" i="20"/>
  <c r="F697" i="20"/>
  <c r="E697" i="20"/>
  <c r="D697" i="20"/>
  <c r="B697" i="20"/>
  <c r="A697" i="20"/>
  <c r="D693" i="20"/>
  <c r="B693" i="20"/>
  <c r="A693" i="20"/>
  <c r="B692" i="20"/>
  <c r="A692" i="20"/>
  <c r="D688" i="20"/>
  <c r="B688" i="20"/>
  <c r="A688" i="20"/>
  <c r="B687" i="20"/>
  <c r="A687" i="20"/>
  <c r="D683" i="20"/>
  <c r="B683" i="20"/>
  <c r="A683" i="20"/>
  <c r="B682" i="20"/>
  <c r="A682" i="20"/>
  <c r="D676" i="20"/>
  <c r="D677" i="20"/>
  <c r="D668" i="20"/>
  <c r="D670" i="20"/>
  <c r="D672" i="20"/>
  <c r="D671" i="20"/>
  <c r="D678" i="20"/>
  <c r="H676" i="20"/>
  <c r="H677" i="20"/>
  <c r="G676" i="20"/>
  <c r="G677" i="20"/>
  <c r="F676" i="20"/>
  <c r="F677" i="20"/>
  <c r="E676" i="20"/>
  <c r="E677" i="20"/>
  <c r="B676" i="20"/>
  <c r="A676" i="20"/>
  <c r="A677" i="20"/>
  <c r="D675" i="20"/>
  <c r="B675" i="20"/>
  <c r="A675" i="20"/>
  <c r="D674" i="20"/>
  <c r="B674" i="20"/>
  <c r="A674" i="20"/>
  <c r="D673" i="20"/>
  <c r="B673" i="20"/>
  <c r="A673" i="20"/>
  <c r="B672" i="20"/>
  <c r="A672" i="20"/>
  <c r="B671" i="20"/>
  <c r="A671" i="20"/>
  <c r="B670" i="20"/>
  <c r="A670" i="20"/>
  <c r="D669" i="20"/>
  <c r="B669" i="20"/>
  <c r="A669" i="20"/>
  <c r="B668" i="20"/>
  <c r="A668" i="20"/>
  <c r="D667" i="20"/>
  <c r="B667" i="20"/>
  <c r="A667" i="20"/>
  <c r="B664" i="20"/>
  <c r="A664" i="20"/>
  <c r="B663" i="20"/>
  <c r="A663" i="20"/>
  <c r="A662" i="20"/>
  <c r="D657" i="20"/>
  <c r="C657" i="20"/>
  <c r="B657" i="20"/>
  <c r="A657" i="20"/>
  <c r="A655" i="20"/>
  <c r="A12" i="20"/>
  <c r="B654" i="20"/>
  <c r="A654" i="20"/>
  <c r="B652" i="20"/>
  <c r="A652" i="20"/>
  <c r="A649" i="20"/>
  <c r="F648" i="20"/>
  <c r="E648" i="20"/>
  <c r="D648" i="20"/>
  <c r="B648" i="20"/>
  <c r="A648" i="20"/>
  <c r="E646" i="20"/>
  <c r="D646" i="20"/>
  <c r="A645" i="20"/>
  <c r="A708" i="20"/>
  <c r="G642" i="20"/>
  <c r="F642" i="20"/>
  <c r="E642" i="20"/>
  <c r="D642" i="20"/>
  <c r="B642" i="20"/>
  <c r="A642" i="20"/>
  <c r="E641" i="20"/>
  <c r="D641" i="20"/>
  <c r="A641" i="20"/>
  <c r="N635" i="20"/>
  <c r="O635" i="20"/>
  <c r="P635" i="20"/>
  <c r="Q635" i="20"/>
  <c r="R635" i="20"/>
  <c r="S635" i="20"/>
  <c r="T635" i="20"/>
  <c r="U635" i="20"/>
  <c r="V635" i="20"/>
  <c r="W635" i="20"/>
  <c r="X635" i="20"/>
  <c r="Y635" i="20"/>
  <c r="Z635" i="20"/>
  <c r="AA635" i="20"/>
  <c r="AB635" i="20"/>
  <c r="AC635" i="20"/>
  <c r="AD635" i="20"/>
  <c r="E635" i="20"/>
  <c r="F635" i="20"/>
  <c r="G635" i="20"/>
  <c r="H635" i="20"/>
  <c r="I635" i="20"/>
  <c r="J635" i="20"/>
  <c r="K635" i="20"/>
  <c r="L635" i="20"/>
  <c r="M635" i="20"/>
  <c r="B632" i="20"/>
  <c r="A632" i="20"/>
  <c r="P630" i="20"/>
  <c r="Q630" i="20"/>
  <c r="R630" i="20"/>
  <c r="S630" i="20"/>
  <c r="T630" i="20"/>
  <c r="U630" i="20"/>
  <c r="V630" i="20"/>
  <c r="W630" i="20"/>
  <c r="X630" i="20"/>
  <c r="Y630" i="20"/>
  <c r="Z630" i="20"/>
  <c r="AA630" i="20"/>
  <c r="AB630" i="20"/>
  <c r="AC630" i="20"/>
  <c r="AD630" i="20"/>
  <c r="K630" i="20"/>
  <c r="L630" i="20"/>
  <c r="M630" i="20"/>
  <c r="N630" i="20"/>
  <c r="O630" i="20"/>
  <c r="J630" i="20"/>
  <c r="E630" i="20"/>
  <c r="F630" i="20"/>
  <c r="G630" i="20"/>
  <c r="H630" i="20"/>
  <c r="I630" i="20"/>
  <c r="F629" i="20"/>
  <c r="D629" i="20"/>
  <c r="D631" i="20"/>
  <c r="B629" i="20"/>
  <c r="A629" i="20"/>
  <c r="E628" i="20"/>
  <c r="F628" i="20"/>
  <c r="G628" i="20"/>
  <c r="H628" i="20"/>
  <c r="I628" i="20"/>
  <c r="E621" i="20"/>
  <c r="F621" i="20"/>
  <c r="G621" i="20"/>
  <c r="H621" i="20"/>
  <c r="I621" i="20"/>
  <c r="J621" i="20"/>
  <c r="K621" i="20"/>
  <c r="L621" i="20"/>
  <c r="M621" i="20"/>
  <c r="N621" i="20"/>
  <c r="O621" i="20"/>
  <c r="P621" i="20"/>
  <c r="Q621" i="20"/>
  <c r="R621" i="20"/>
  <c r="S621" i="20"/>
  <c r="T621" i="20"/>
  <c r="U621" i="20"/>
  <c r="V621" i="20"/>
  <c r="W621" i="20"/>
  <c r="X621" i="20"/>
  <c r="Y621" i="20"/>
  <c r="Z621" i="20"/>
  <c r="AA621" i="20"/>
  <c r="AB621" i="20"/>
  <c r="AC621" i="20"/>
  <c r="AD621" i="20"/>
  <c r="B618" i="20"/>
  <c r="A618" i="20"/>
  <c r="D617" i="20"/>
  <c r="I616" i="20"/>
  <c r="J616" i="20"/>
  <c r="K616" i="20"/>
  <c r="L616" i="20"/>
  <c r="M616" i="20"/>
  <c r="N616" i="20"/>
  <c r="O616" i="20"/>
  <c r="P616" i="20"/>
  <c r="Q616" i="20"/>
  <c r="R616" i="20"/>
  <c r="S616" i="20"/>
  <c r="T616" i="20"/>
  <c r="U616" i="20"/>
  <c r="V616" i="20"/>
  <c r="W616" i="20"/>
  <c r="X616" i="20"/>
  <c r="Y616" i="20"/>
  <c r="Z616" i="20"/>
  <c r="AA616" i="20"/>
  <c r="AB616" i="20"/>
  <c r="AC616" i="20"/>
  <c r="AD616" i="20"/>
  <c r="H616" i="20"/>
  <c r="G616" i="20"/>
  <c r="F616" i="20"/>
  <c r="E616" i="20"/>
  <c r="F615" i="20"/>
  <c r="E615" i="20"/>
  <c r="D615" i="20"/>
  <c r="B615" i="20"/>
  <c r="A615" i="20"/>
  <c r="E614" i="20"/>
  <c r="F614" i="20"/>
  <c r="G614" i="20"/>
  <c r="H611" i="20"/>
  <c r="G611" i="20"/>
  <c r="G615" i="20"/>
  <c r="F611" i="20"/>
  <c r="E611" i="20"/>
  <c r="E629" i="20"/>
  <c r="A611" i="20"/>
  <c r="J610" i="20"/>
  <c r="K610" i="20"/>
  <c r="L610" i="20"/>
  <c r="M610" i="20"/>
  <c r="N610" i="20"/>
  <c r="O610" i="20"/>
  <c r="P610" i="20"/>
  <c r="Q610" i="20"/>
  <c r="R610" i="20"/>
  <c r="S610" i="20"/>
  <c r="T610" i="20"/>
  <c r="U610" i="20"/>
  <c r="V610" i="20"/>
  <c r="W610" i="20"/>
  <c r="X610" i="20"/>
  <c r="Y610" i="20"/>
  <c r="Z610" i="20"/>
  <c r="AA610" i="20"/>
  <c r="AB610" i="20"/>
  <c r="AC610" i="20"/>
  <c r="AD610" i="20"/>
  <c r="I610" i="20"/>
  <c r="H610" i="20"/>
  <c r="D605" i="20"/>
  <c r="C605" i="20"/>
  <c r="B605" i="20"/>
  <c r="A605" i="20"/>
  <c r="AD603" i="20"/>
  <c r="AC603" i="20"/>
  <c r="A603" i="20"/>
  <c r="AD602" i="20"/>
  <c r="L602" i="20"/>
  <c r="M602" i="20"/>
  <c r="N602" i="20"/>
  <c r="O602" i="20"/>
  <c r="P602" i="20"/>
  <c r="Q602" i="20"/>
  <c r="R602" i="20"/>
  <c r="S602" i="20"/>
  <c r="T602" i="20"/>
  <c r="U602" i="20"/>
  <c r="V602" i="20"/>
  <c r="W602" i="20"/>
  <c r="X602" i="20"/>
  <c r="Y602" i="20"/>
  <c r="Z602" i="20"/>
  <c r="AA602" i="20"/>
  <c r="AB602" i="20"/>
  <c r="AC602" i="20"/>
  <c r="F602" i="20"/>
  <c r="G602" i="20"/>
  <c r="H602" i="20"/>
  <c r="I602" i="20"/>
  <c r="J602" i="20"/>
  <c r="K602" i="20"/>
  <c r="E602" i="20"/>
  <c r="O600" i="20"/>
  <c r="P600" i="20"/>
  <c r="Q600" i="20"/>
  <c r="R600" i="20"/>
  <c r="S600" i="20"/>
  <c r="T600" i="20"/>
  <c r="U600" i="20"/>
  <c r="V600" i="20"/>
  <c r="W600" i="20"/>
  <c r="X600" i="20"/>
  <c r="Y600" i="20"/>
  <c r="Z600" i="20"/>
  <c r="AA600" i="20"/>
  <c r="AB600" i="20"/>
  <c r="AC600" i="20"/>
  <c r="AD600" i="20"/>
  <c r="E600" i="20"/>
  <c r="F600" i="20"/>
  <c r="G600" i="20"/>
  <c r="H600" i="20"/>
  <c r="I600" i="20"/>
  <c r="J600" i="20"/>
  <c r="K600" i="20"/>
  <c r="L600" i="20"/>
  <c r="M600" i="20"/>
  <c r="N600" i="20"/>
  <c r="B599" i="20"/>
  <c r="A599" i="20"/>
  <c r="D596" i="20"/>
  <c r="C596" i="20"/>
  <c r="B596" i="20"/>
  <c r="A596" i="20"/>
  <c r="E594" i="20"/>
  <c r="D594" i="20"/>
  <c r="A593" i="20"/>
  <c r="A594" i="20"/>
  <c r="D591" i="20"/>
  <c r="E590" i="20"/>
  <c r="F590" i="20"/>
  <c r="G590" i="20"/>
  <c r="H590" i="20"/>
  <c r="I590" i="20"/>
  <c r="J590" i="20"/>
  <c r="K590" i="20"/>
  <c r="L590" i="20"/>
  <c r="M590" i="20"/>
  <c r="N590" i="20"/>
  <c r="O590" i="20"/>
  <c r="P590" i="20"/>
  <c r="Q590" i="20"/>
  <c r="R590" i="20"/>
  <c r="S590" i="20"/>
  <c r="T590" i="20"/>
  <c r="U590" i="20"/>
  <c r="V590" i="20"/>
  <c r="W590" i="20"/>
  <c r="X590" i="20"/>
  <c r="Y590" i="20"/>
  <c r="Z590" i="20"/>
  <c r="AA590" i="20"/>
  <c r="AB590" i="20"/>
  <c r="AC590" i="20"/>
  <c r="AD590" i="20"/>
  <c r="A587" i="20"/>
  <c r="E584" i="20"/>
  <c r="F584" i="20"/>
  <c r="G584" i="20"/>
  <c r="H584" i="20"/>
  <c r="I584" i="20"/>
  <c r="J584" i="20"/>
  <c r="K584" i="20"/>
  <c r="L584" i="20"/>
  <c r="M584" i="20"/>
  <c r="N584" i="20"/>
  <c r="O584" i="20"/>
  <c r="P584" i="20"/>
  <c r="Q584" i="20"/>
  <c r="R584" i="20"/>
  <c r="S584" i="20"/>
  <c r="T584" i="20"/>
  <c r="U584" i="20"/>
  <c r="V584" i="20"/>
  <c r="W584" i="20"/>
  <c r="X584" i="20"/>
  <c r="Y584" i="20"/>
  <c r="Z584" i="20"/>
  <c r="AA584" i="20"/>
  <c r="AB584" i="20"/>
  <c r="AC584" i="20"/>
  <c r="AD584" i="20"/>
  <c r="E583" i="20"/>
  <c r="D583" i="20"/>
  <c r="D585" i="20"/>
  <c r="B583" i="20"/>
  <c r="A583" i="20"/>
  <c r="K580" i="20"/>
  <c r="L580" i="20"/>
  <c r="M580" i="20"/>
  <c r="N580" i="20"/>
  <c r="O580" i="20"/>
  <c r="P580" i="20"/>
  <c r="Q580" i="20"/>
  <c r="R580" i="20"/>
  <c r="S580" i="20"/>
  <c r="T580" i="20"/>
  <c r="U580" i="20"/>
  <c r="V580" i="20"/>
  <c r="W580" i="20"/>
  <c r="X580" i="20"/>
  <c r="Y580" i="20"/>
  <c r="Z580" i="20"/>
  <c r="AA580" i="20"/>
  <c r="AB580" i="20"/>
  <c r="AC580" i="20"/>
  <c r="AD580" i="20"/>
  <c r="J580" i="20"/>
  <c r="E580" i="20"/>
  <c r="F580" i="20"/>
  <c r="G580" i="20"/>
  <c r="H580" i="20"/>
  <c r="I580" i="20"/>
  <c r="B579" i="20"/>
  <c r="A579" i="20"/>
  <c r="E575" i="20"/>
  <c r="D575" i="20"/>
  <c r="A575" i="20"/>
  <c r="E574" i="20"/>
  <c r="D574" i="20"/>
  <c r="E572" i="20"/>
  <c r="D572" i="20"/>
  <c r="A572" i="20"/>
  <c r="AA571" i="20"/>
  <c r="AB571" i="20"/>
  <c r="AC571" i="20"/>
  <c r="AD571" i="20"/>
  <c r="V571" i="20"/>
  <c r="W571" i="20"/>
  <c r="X571" i="20"/>
  <c r="Y571" i="20"/>
  <c r="Z571" i="20"/>
  <c r="T571" i="20"/>
  <c r="U571" i="20"/>
  <c r="K571" i="20"/>
  <c r="L571" i="20"/>
  <c r="M571" i="20"/>
  <c r="N571" i="20"/>
  <c r="O571" i="20"/>
  <c r="P571" i="20"/>
  <c r="Q571" i="20"/>
  <c r="R571" i="20"/>
  <c r="S571" i="20"/>
  <c r="J571" i="20"/>
  <c r="I571" i="20"/>
  <c r="H571" i="20"/>
  <c r="E571" i="20"/>
  <c r="F571" i="20"/>
  <c r="G571" i="20"/>
  <c r="E570" i="20"/>
  <c r="D570" i="20"/>
  <c r="B570" i="20"/>
  <c r="A570" i="20"/>
  <c r="E566" i="20"/>
  <c r="D566" i="20"/>
  <c r="A566" i="20"/>
  <c r="W565" i="20"/>
  <c r="X565" i="20"/>
  <c r="Y565" i="20"/>
  <c r="Z565" i="20"/>
  <c r="AA565" i="20"/>
  <c r="AB565" i="20"/>
  <c r="AC565" i="20"/>
  <c r="AD565" i="20"/>
  <c r="U565" i="20"/>
  <c r="V565" i="20"/>
  <c r="O565" i="20"/>
  <c r="P565" i="20"/>
  <c r="Q565" i="20"/>
  <c r="R565" i="20"/>
  <c r="S565" i="20"/>
  <c r="T565" i="20"/>
  <c r="N565" i="20"/>
  <c r="E565" i="20"/>
  <c r="F565" i="20"/>
  <c r="G565" i="20"/>
  <c r="H565" i="20"/>
  <c r="I565" i="20"/>
  <c r="J565" i="20"/>
  <c r="K565" i="20"/>
  <c r="L565" i="20"/>
  <c r="M565" i="20"/>
  <c r="AD564" i="20"/>
  <c r="H564" i="20"/>
  <c r="I564" i="20"/>
  <c r="J564" i="20"/>
  <c r="K564" i="20"/>
  <c r="L564" i="20"/>
  <c r="M564" i="20"/>
  <c r="N564" i="20"/>
  <c r="O564" i="20"/>
  <c r="P564" i="20"/>
  <c r="Q564" i="20"/>
  <c r="R564" i="20"/>
  <c r="S564" i="20"/>
  <c r="T564" i="20"/>
  <c r="U564" i="20"/>
  <c r="V564" i="20"/>
  <c r="W564" i="20"/>
  <c r="X564" i="20"/>
  <c r="Y564" i="20"/>
  <c r="Z564" i="20"/>
  <c r="AA564" i="20"/>
  <c r="AB564" i="20"/>
  <c r="AC564" i="20"/>
  <c r="F564" i="20"/>
  <c r="G564" i="20"/>
  <c r="E564" i="20"/>
  <c r="E563" i="20"/>
  <c r="F563" i="20"/>
  <c r="G563" i="20"/>
  <c r="H563" i="20"/>
  <c r="I563" i="20"/>
  <c r="J563" i="20"/>
  <c r="K563" i="20"/>
  <c r="L563" i="20"/>
  <c r="M563" i="20"/>
  <c r="N563" i="20"/>
  <c r="O563" i="20"/>
  <c r="P563" i="20"/>
  <c r="Q563" i="20"/>
  <c r="R563" i="20"/>
  <c r="S563" i="20"/>
  <c r="T563" i="20"/>
  <c r="U563" i="20"/>
  <c r="V563" i="20"/>
  <c r="W563" i="20"/>
  <c r="X563" i="20"/>
  <c r="Y563" i="20"/>
  <c r="Z563" i="20"/>
  <c r="AA563" i="20"/>
  <c r="AB563" i="20"/>
  <c r="AC563" i="20"/>
  <c r="AD563" i="20"/>
  <c r="F559" i="20"/>
  <c r="E559" i="20"/>
  <c r="D559" i="20"/>
  <c r="A559" i="20"/>
  <c r="L558" i="20"/>
  <c r="M558" i="20"/>
  <c r="N558" i="20"/>
  <c r="O558" i="20"/>
  <c r="P558" i="20"/>
  <c r="Q558" i="20"/>
  <c r="R558" i="20"/>
  <c r="S558" i="20"/>
  <c r="T558" i="20"/>
  <c r="U558" i="20"/>
  <c r="V558" i="20"/>
  <c r="W558" i="20"/>
  <c r="X558" i="20"/>
  <c r="Y558" i="20"/>
  <c r="Z558" i="20"/>
  <c r="AA558" i="20"/>
  <c r="AB558" i="20"/>
  <c r="AC558" i="20"/>
  <c r="AD558" i="20"/>
  <c r="H558" i="20"/>
  <c r="I558" i="20"/>
  <c r="J558" i="20"/>
  <c r="K558" i="20"/>
  <c r="E558" i="20"/>
  <c r="F558" i="20"/>
  <c r="G558" i="20"/>
  <c r="K557" i="20"/>
  <c r="L557" i="20"/>
  <c r="M557" i="20"/>
  <c r="N557" i="20"/>
  <c r="O557" i="20"/>
  <c r="P557" i="20"/>
  <c r="Q557" i="20"/>
  <c r="R557" i="20"/>
  <c r="S557" i="20"/>
  <c r="T557" i="20"/>
  <c r="U557" i="20"/>
  <c r="V557" i="20"/>
  <c r="W557" i="20"/>
  <c r="X557" i="20"/>
  <c r="Y557" i="20"/>
  <c r="Z557" i="20"/>
  <c r="AA557" i="20"/>
  <c r="AB557" i="20"/>
  <c r="AC557" i="20"/>
  <c r="AD557" i="20"/>
  <c r="J557" i="20"/>
  <c r="E557" i="20"/>
  <c r="F557" i="20"/>
  <c r="G557" i="20"/>
  <c r="H557" i="20"/>
  <c r="I557" i="20"/>
  <c r="F556" i="20"/>
  <c r="G556" i="20"/>
  <c r="H556" i="20"/>
  <c r="I556" i="20"/>
  <c r="J556" i="20"/>
  <c r="K556" i="20"/>
  <c r="L556" i="20"/>
  <c r="M556" i="20"/>
  <c r="N556" i="20"/>
  <c r="O556" i="20"/>
  <c r="P556" i="20"/>
  <c r="Q556" i="20"/>
  <c r="R556" i="20"/>
  <c r="S556" i="20"/>
  <c r="T556" i="20"/>
  <c r="U556" i="20"/>
  <c r="V556" i="20"/>
  <c r="W556" i="20"/>
  <c r="X556" i="20"/>
  <c r="Y556" i="20"/>
  <c r="Z556" i="20"/>
  <c r="AA556" i="20"/>
  <c r="AB556" i="20"/>
  <c r="AC556" i="20"/>
  <c r="AD556" i="20"/>
  <c r="E556" i="20"/>
  <c r="I555" i="20"/>
  <c r="E555" i="20"/>
  <c r="F555" i="20"/>
  <c r="G555" i="20"/>
  <c r="H555" i="20"/>
  <c r="E551" i="20"/>
  <c r="D551" i="20"/>
  <c r="A551" i="20"/>
  <c r="F550" i="20"/>
  <c r="G550" i="20"/>
  <c r="H550" i="20"/>
  <c r="I550" i="20"/>
  <c r="J550" i="20"/>
  <c r="K550" i="20"/>
  <c r="L550" i="20"/>
  <c r="M550" i="20"/>
  <c r="N550" i="20"/>
  <c r="O550" i="20"/>
  <c r="P550" i="20"/>
  <c r="Q550" i="20"/>
  <c r="R550" i="20"/>
  <c r="S550" i="20"/>
  <c r="T550" i="20"/>
  <c r="U550" i="20"/>
  <c r="V550" i="20"/>
  <c r="W550" i="20"/>
  <c r="X550" i="20"/>
  <c r="Y550" i="20"/>
  <c r="Z550" i="20"/>
  <c r="AA550" i="20"/>
  <c r="AB550" i="20"/>
  <c r="AC550" i="20"/>
  <c r="AD550" i="20"/>
  <c r="E550" i="20"/>
  <c r="E549" i="20"/>
  <c r="F549" i="20"/>
  <c r="G549" i="20"/>
  <c r="H549" i="20"/>
  <c r="I549" i="20"/>
  <c r="J549" i="20"/>
  <c r="K549" i="20"/>
  <c r="L549" i="20"/>
  <c r="M549" i="20"/>
  <c r="N549" i="20"/>
  <c r="O549" i="20"/>
  <c r="P549" i="20"/>
  <c r="Q549" i="20"/>
  <c r="R549" i="20"/>
  <c r="S549" i="20"/>
  <c r="T549" i="20"/>
  <c r="U549" i="20"/>
  <c r="V549" i="20"/>
  <c r="W549" i="20"/>
  <c r="X549" i="20"/>
  <c r="Y549" i="20"/>
  <c r="Z549" i="20"/>
  <c r="AA549" i="20"/>
  <c r="AB549" i="20"/>
  <c r="AC549" i="20"/>
  <c r="AD549" i="20"/>
  <c r="E548" i="20"/>
  <c r="F548" i="20"/>
  <c r="G548" i="20"/>
  <c r="H548" i="20"/>
  <c r="I548" i="20"/>
  <c r="J548" i="20"/>
  <c r="K548" i="20"/>
  <c r="L548" i="20"/>
  <c r="M548" i="20"/>
  <c r="N548" i="20"/>
  <c r="O548" i="20"/>
  <c r="P548" i="20"/>
  <c r="Q548" i="20"/>
  <c r="R548" i="20"/>
  <c r="S548" i="20"/>
  <c r="T548" i="20"/>
  <c r="U548" i="20"/>
  <c r="V548" i="20"/>
  <c r="W548" i="20"/>
  <c r="X548" i="20"/>
  <c r="Y548" i="20"/>
  <c r="Z548" i="20"/>
  <c r="AA548" i="20"/>
  <c r="AB548" i="20"/>
  <c r="AC548" i="20"/>
  <c r="AD548" i="20"/>
  <c r="E547" i="20"/>
  <c r="F547" i="20"/>
  <c r="E546" i="20"/>
  <c r="F546" i="20"/>
  <c r="G546" i="20"/>
  <c r="H545" i="20"/>
  <c r="I545" i="20"/>
  <c r="G545" i="20"/>
  <c r="E545" i="20"/>
  <c r="F545" i="20"/>
  <c r="A541" i="20"/>
  <c r="F540" i="20"/>
  <c r="E540" i="20"/>
  <c r="E541" i="20"/>
  <c r="D540" i="20"/>
  <c r="D541" i="20"/>
  <c r="B540" i="20"/>
  <c r="A540" i="20"/>
  <c r="E539" i="20"/>
  <c r="F539" i="20"/>
  <c r="A535" i="20"/>
  <c r="D533" i="20"/>
  <c r="A533" i="20"/>
  <c r="N532" i="20"/>
  <c r="O532" i="20"/>
  <c r="P532" i="20"/>
  <c r="Q532" i="20"/>
  <c r="R532" i="20"/>
  <c r="S532" i="20"/>
  <c r="T532" i="20"/>
  <c r="U532" i="20"/>
  <c r="V532" i="20"/>
  <c r="W532" i="20"/>
  <c r="X532" i="20"/>
  <c r="Y532" i="20"/>
  <c r="Z532" i="20"/>
  <c r="AA532" i="20"/>
  <c r="AB532" i="20"/>
  <c r="AC532" i="20"/>
  <c r="AD532" i="20"/>
  <c r="M532" i="20"/>
  <c r="E532" i="20"/>
  <c r="F532" i="20"/>
  <c r="G532" i="20"/>
  <c r="H532" i="20"/>
  <c r="I532" i="20"/>
  <c r="J532" i="20"/>
  <c r="K532" i="20"/>
  <c r="L532" i="20"/>
  <c r="E531" i="20"/>
  <c r="F529" i="20"/>
  <c r="E529" i="20"/>
  <c r="D529" i="20"/>
  <c r="A529" i="20"/>
  <c r="K528" i="20"/>
  <c r="L528" i="20"/>
  <c r="M528" i="20"/>
  <c r="N528" i="20"/>
  <c r="O528" i="20"/>
  <c r="P528" i="20"/>
  <c r="Q528" i="20"/>
  <c r="R528" i="20"/>
  <c r="S528" i="20"/>
  <c r="T528" i="20"/>
  <c r="U528" i="20"/>
  <c r="V528" i="20"/>
  <c r="W528" i="20"/>
  <c r="X528" i="20"/>
  <c r="Y528" i="20"/>
  <c r="Z528" i="20"/>
  <c r="AA528" i="20"/>
  <c r="AB528" i="20"/>
  <c r="AC528" i="20"/>
  <c r="AD528" i="20"/>
  <c r="H528" i="20"/>
  <c r="I528" i="20"/>
  <c r="J528" i="20"/>
  <c r="G528" i="20"/>
  <c r="F528" i="20"/>
  <c r="E528" i="20"/>
  <c r="G527" i="20"/>
  <c r="F527" i="20"/>
  <c r="E527" i="20"/>
  <c r="A525" i="20"/>
  <c r="J524" i="20"/>
  <c r="K524" i="20"/>
  <c r="L524" i="20"/>
  <c r="M524" i="20"/>
  <c r="N524" i="20"/>
  <c r="O524" i="20"/>
  <c r="P524" i="20"/>
  <c r="Q524" i="20"/>
  <c r="R524" i="20"/>
  <c r="S524" i="20"/>
  <c r="T524" i="20"/>
  <c r="U524" i="20"/>
  <c r="V524" i="20"/>
  <c r="W524" i="20"/>
  <c r="X524" i="20"/>
  <c r="Y524" i="20"/>
  <c r="Z524" i="20"/>
  <c r="AA524" i="20"/>
  <c r="AB524" i="20"/>
  <c r="AC524" i="20"/>
  <c r="AD524" i="20"/>
  <c r="F524" i="20"/>
  <c r="G524" i="20"/>
  <c r="H524" i="20"/>
  <c r="I524" i="20"/>
  <c r="E524" i="20"/>
  <c r="E523" i="20"/>
  <c r="E525" i="20"/>
  <c r="D523" i="20"/>
  <c r="D525" i="20"/>
  <c r="O522" i="20"/>
  <c r="P522" i="20"/>
  <c r="Q522" i="20"/>
  <c r="R522" i="20"/>
  <c r="S522" i="20"/>
  <c r="T522" i="20"/>
  <c r="U522" i="20"/>
  <c r="V522" i="20"/>
  <c r="W522" i="20"/>
  <c r="X522" i="20"/>
  <c r="Y522" i="20"/>
  <c r="Z522" i="20"/>
  <c r="AA522" i="20"/>
  <c r="AB522" i="20"/>
  <c r="AC522" i="20"/>
  <c r="AD522" i="20"/>
  <c r="M522" i="20"/>
  <c r="N522" i="20"/>
  <c r="G522" i="20"/>
  <c r="H522" i="20"/>
  <c r="I522" i="20"/>
  <c r="J522" i="20"/>
  <c r="K522" i="20"/>
  <c r="L522" i="20"/>
  <c r="E522" i="20"/>
  <c r="F522" i="20"/>
  <c r="E521" i="20"/>
  <c r="F521" i="20"/>
  <c r="E519" i="20"/>
  <c r="D519" i="20"/>
  <c r="A519" i="20"/>
  <c r="Q518" i="20"/>
  <c r="R518" i="20"/>
  <c r="S518" i="20"/>
  <c r="T518" i="20"/>
  <c r="U518" i="20"/>
  <c r="V518" i="20"/>
  <c r="W518" i="20"/>
  <c r="X518" i="20"/>
  <c r="Y518" i="20"/>
  <c r="Z518" i="20"/>
  <c r="AA518" i="20"/>
  <c r="AB518" i="20"/>
  <c r="AC518" i="20"/>
  <c r="AD518" i="20"/>
  <c r="E518" i="20"/>
  <c r="F518" i="20"/>
  <c r="G518" i="20"/>
  <c r="H518" i="20"/>
  <c r="I518" i="20"/>
  <c r="J518" i="20"/>
  <c r="K518" i="20"/>
  <c r="L518" i="20"/>
  <c r="M518" i="20"/>
  <c r="N518" i="20"/>
  <c r="O518" i="20"/>
  <c r="P518" i="20"/>
  <c r="J517" i="20"/>
  <c r="I517" i="20"/>
  <c r="H517" i="20"/>
  <c r="G517" i="20"/>
  <c r="F517" i="20"/>
  <c r="E517" i="20"/>
  <c r="D512" i="20"/>
  <c r="C512" i="20"/>
  <c r="B512" i="20"/>
  <c r="A512" i="20"/>
  <c r="E510" i="20"/>
  <c r="D510" i="20"/>
  <c r="A510" i="20"/>
  <c r="E507" i="20"/>
  <c r="E505" i="20"/>
  <c r="F505" i="20"/>
  <c r="G505" i="20"/>
  <c r="H505" i="20"/>
  <c r="I505" i="20"/>
  <c r="J505" i="20"/>
  <c r="K505" i="20"/>
  <c r="L505" i="20"/>
  <c r="M505" i="20"/>
  <c r="N505" i="20"/>
  <c r="O505" i="20"/>
  <c r="P505" i="20"/>
  <c r="Q505" i="20"/>
  <c r="R505" i="20"/>
  <c r="S505" i="20"/>
  <c r="T505" i="20"/>
  <c r="U505" i="20"/>
  <c r="V505" i="20"/>
  <c r="W505" i="20"/>
  <c r="X505" i="20"/>
  <c r="Y505" i="20"/>
  <c r="Z505" i="20"/>
  <c r="AA505" i="20"/>
  <c r="AB505" i="20"/>
  <c r="AC505" i="20"/>
  <c r="AD505" i="20"/>
  <c r="A503" i="20"/>
  <c r="Y502" i="20"/>
  <c r="Z502" i="20"/>
  <c r="AA502" i="20"/>
  <c r="AB502" i="20"/>
  <c r="AC502" i="20"/>
  <c r="AD502" i="20"/>
  <c r="I502" i="20"/>
  <c r="J502" i="20"/>
  <c r="K502" i="20"/>
  <c r="L502" i="20"/>
  <c r="M502" i="20"/>
  <c r="N502" i="20"/>
  <c r="O502" i="20"/>
  <c r="P502" i="20"/>
  <c r="Q502" i="20"/>
  <c r="R502" i="20"/>
  <c r="S502" i="20"/>
  <c r="T502" i="20"/>
  <c r="U502" i="20"/>
  <c r="V502" i="20"/>
  <c r="W502" i="20"/>
  <c r="X502" i="20"/>
  <c r="H502" i="20"/>
  <c r="E502" i="20"/>
  <c r="F502" i="20"/>
  <c r="G502" i="20"/>
  <c r="D501" i="20"/>
  <c r="D503" i="20"/>
  <c r="F500" i="20"/>
  <c r="G500" i="20"/>
  <c r="E500" i="20"/>
  <c r="E501" i="20"/>
  <c r="E503" i="20"/>
  <c r="V499" i="20"/>
  <c r="W499" i="20"/>
  <c r="X499" i="20"/>
  <c r="Y499" i="20"/>
  <c r="Z499" i="20"/>
  <c r="AA499" i="20"/>
  <c r="AB499" i="20"/>
  <c r="AC499" i="20"/>
  <c r="AD499" i="20"/>
  <c r="J499" i="20"/>
  <c r="K499" i="20"/>
  <c r="L499" i="20"/>
  <c r="M499" i="20"/>
  <c r="N499" i="20"/>
  <c r="O499" i="20"/>
  <c r="P499" i="20"/>
  <c r="Q499" i="20"/>
  <c r="R499" i="20"/>
  <c r="S499" i="20"/>
  <c r="T499" i="20"/>
  <c r="U499" i="20"/>
  <c r="I499" i="20"/>
  <c r="H499" i="20"/>
  <c r="F499" i="20"/>
  <c r="G499" i="20"/>
  <c r="E499" i="20"/>
  <c r="I498" i="20"/>
  <c r="H498" i="20"/>
  <c r="G498" i="20"/>
  <c r="F498" i="20"/>
  <c r="E498" i="20"/>
  <c r="F490" i="20"/>
  <c r="G490" i="20"/>
  <c r="H490" i="20"/>
  <c r="I490" i="20"/>
  <c r="J490" i="20"/>
  <c r="K490" i="20"/>
  <c r="L490" i="20"/>
  <c r="M490" i="20"/>
  <c r="N490" i="20"/>
  <c r="O490" i="20"/>
  <c r="P490" i="20"/>
  <c r="Q490" i="20"/>
  <c r="R490" i="20"/>
  <c r="S490" i="20"/>
  <c r="T490" i="20"/>
  <c r="U490" i="20"/>
  <c r="V490" i="20"/>
  <c r="W490" i="20"/>
  <c r="X490" i="20"/>
  <c r="Y490" i="20"/>
  <c r="Z490" i="20"/>
  <c r="AA490" i="20"/>
  <c r="AB490" i="20"/>
  <c r="AC490" i="20"/>
  <c r="AD490" i="20"/>
  <c r="E490" i="20"/>
  <c r="Y487" i="20"/>
  <c r="Z487" i="20"/>
  <c r="AA487" i="20"/>
  <c r="AB487" i="20"/>
  <c r="AC487" i="20"/>
  <c r="AD487" i="20"/>
  <c r="L487" i="20"/>
  <c r="M487" i="20"/>
  <c r="N487" i="20"/>
  <c r="O487" i="20"/>
  <c r="P487" i="20"/>
  <c r="Q487" i="20"/>
  <c r="R487" i="20"/>
  <c r="S487" i="20"/>
  <c r="T487" i="20"/>
  <c r="U487" i="20"/>
  <c r="V487" i="20"/>
  <c r="W487" i="20"/>
  <c r="X487" i="20"/>
  <c r="G487" i="20"/>
  <c r="H487" i="20"/>
  <c r="I487" i="20"/>
  <c r="J487" i="20"/>
  <c r="K487" i="20"/>
  <c r="E487" i="20"/>
  <c r="F487" i="20"/>
  <c r="D484" i="20"/>
  <c r="E483" i="20"/>
  <c r="F483" i="20"/>
  <c r="G483" i="20"/>
  <c r="E482" i="20"/>
  <c r="E484" i="20"/>
  <c r="D477" i="20"/>
  <c r="D479" i="20"/>
  <c r="D492" i="20"/>
  <c r="H476" i="20"/>
  <c r="I476" i="20"/>
  <c r="J476" i="20"/>
  <c r="K476" i="20"/>
  <c r="L476" i="20"/>
  <c r="M476" i="20"/>
  <c r="N476" i="20"/>
  <c r="O476" i="20"/>
  <c r="P476" i="20"/>
  <c r="Q476" i="20"/>
  <c r="R476" i="20"/>
  <c r="S476" i="20"/>
  <c r="T476" i="20"/>
  <c r="U476" i="20"/>
  <c r="V476" i="20"/>
  <c r="W476" i="20"/>
  <c r="X476" i="20"/>
  <c r="Y476" i="20"/>
  <c r="Z476" i="20"/>
  <c r="AA476" i="20"/>
  <c r="AB476" i="20"/>
  <c r="AC476" i="20"/>
  <c r="AD476" i="20"/>
  <c r="G476" i="20"/>
  <c r="F476" i="20"/>
  <c r="E476" i="20"/>
  <c r="E475" i="20"/>
  <c r="E473" i="20"/>
  <c r="D473" i="20"/>
  <c r="Q472" i="20"/>
  <c r="R472" i="20"/>
  <c r="S472" i="20"/>
  <c r="T472" i="20"/>
  <c r="U472" i="20"/>
  <c r="V472" i="20"/>
  <c r="W472" i="20"/>
  <c r="X472" i="20"/>
  <c r="Y472" i="20"/>
  <c r="Z472" i="20"/>
  <c r="AA472" i="20"/>
  <c r="AB472" i="20"/>
  <c r="AC472" i="20"/>
  <c r="AD472" i="20"/>
  <c r="H472" i="20"/>
  <c r="I472" i="20"/>
  <c r="J472" i="20"/>
  <c r="K472" i="20"/>
  <c r="L472" i="20"/>
  <c r="M472" i="20"/>
  <c r="N472" i="20"/>
  <c r="O472" i="20"/>
  <c r="P472" i="20"/>
  <c r="F472" i="20"/>
  <c r="G472" i="20"/>
  <c r="E472" i="20"/>
  <c r="F471" i="20"/>
  <c r="E471" i="20"/>
  <c r="E469" i="20"/>
  <c r="F469" i="20"/>
  <c r="E465" i="20"/>
  <c r="D465" i="20"/>
  <c r="B465" i="20"/>
  <c r="A465" i="20"/>
  <c r="D463" i="20"/>
  <c r="C463" i="20"/>
  <c r="B463" i="20"/>
  <c r="A463" i="20"/>
  <c r="E457" i="20"/>
  <c r="F457" i="20"/>
  <c r="G457" i="20"/>
  <c r="H457" i="20"/>
  <c r="I457" i="20"/>
  <c r="J457" i="20"/>
  <c r="K457" i="20"/>
  <c r="L457" i="20"/>
  <c r="M457" i="20"/>
  <c r="N457" i="20"/>
  <c r="O457" i="20"/>
  <c r="P457" i="20"/>
  <c r="Q457" i="20"/>
  <c r="R457" i="20"/>
  <c r="S457" i="20"/>
  <c r="T457" i="20"/>
  <c r="U457" i="20"/>
  <c r="V457" i="20"/>
  <c r="W457" i="20"/>
  <c r="X457" i="20"/>
  <c r="Y457" i="20"/>
  <c r="Z457" i="20"/>
  <c r="AA457" i="20"/>
  <c r="AB457" i="20"/>
  <c r="AC457" i="20"/>
  <c r="AD457" i="20"/>
  <c r="D453" i="20"/>
  <c r="D451" i="20"/>
  <c r="U449" i="20"/>
  <c r="J449" i="20"/>
  <c r="AD447" i="20"/>
  <c r="AC447" i="20"/>
  <c r="AB447" i="20"/>
  <c r="AA447" i="20"/>
  <c r="Z447" i="20"/>
  <c r="Y447" i="20"/>
  <c r="X447" i="20"/>
  <c r="W447" i="20"/>
  <c r="V447" i="20"/>
  <c r="U447" i="20"/>
  <c r="Q447" i="20"/>
  <c r="L447" i="20"/>
  <c r="L449" i="20"/>
  <c r="K447" i="20"/>
  <c r="K449" i="20"/>
  <c r="J447" i="20"/>
  <c r="I447" i="20"/>
  <c r="I449" i="20"/>
  <c r="H447" i="20"/>
  <c r="H449" i="20"/>
  <c r="G447" i="20"/>
  <c r="G449" i="20"/>
  <c r="F447" i="20"/>
  <c r="F449" i="20"/>
  <c r="F451" i="20"/>
  <c r="E447" i="20"/>
  <c r="E449" i="20"/>
  <c r="D447" i="20"/>
  <c r="B447" i="20"/>
  <c r="A447" i="20"/>
  <c r="L445" i="20"/>
  <c r="P445" i="20"/>
  <c r="AD443" i="20"/>
  <c r="AC443" i="20"/>
  <c r="AB443" i="20"/>
  <c r="AA443" i="20"/>
  <c r="Z443" i="20"/>
  <c r="Y443" i="20"/>
  <c r="X443" i="20"/>
  <c r="W443" i="20"/>
  <c r="V443" i="20"/>
  <c r="U443" i="20"/>
  <c r="T443" i="20"/>
  <c r="S443" i="20"/>
  <c r="R443" i="20"/>
  <c r="Q443" i="20"/>
  <c r="Q445" i="20"/>
  <c r="P443" i="20"/>
  <c r="O443" i="20"/>
  <c r="N443" i="20"/>
  <c r="N445" i="20"/>
  <c r="M443" i="20"/>
  <c r="M445" i="20"/>
  <c r="L443" i="20"/>
  <c r="K443" i="20"/>
  <c r="K445" i="20"/>
  <c r="J443" i="20"/>
  <c r="J445" i="20"/>
  <c r="I443" i="20"/>
  <c r="I445" i="20"/>
  <c r="H443" i="20"/>
  <c r="H445" i="20"/>
  <c r="G443" i="20"/>
  <c r="G445" i="20"/>
  <c r="F443" i="20"/>
  <c r="F445" i="20"/>
  <c r="E443" i="20"/>
  <c r="D443" i="20"/>
  <c r="B443" i="20"/>
  <c r="A443" i="20"/>
  <c r="A442" i="20"/>
  <c r="D440" i="20"/>
  <c r="AD436" i="20"/>
  <c r="AC436" i="20"/>
  <c r="AB436" i="20"/>
  <c r="AA436" i="20"/>
  <c r="Z436" i="20"/>
  <c r="Y436" i="20"/>
  <c r="X436" i="20"/>
  <c r="W436" i="20"/>
  <c r="V436" i="20"/>
  <c r="U436" i="20"/>
  <c r="T436" i="20"/>
  <c r="S436" i="20"/>
  <c r="R436" i="20"/>
  <c r="Q436" i="20"/>
  <c r="L436" i="20"/>
  <c r="L438" i="20"/>
  <c r="K436" i="20"/>
  <c r="G436" i="20"/>
  <c r="F436" i="20"/>
  <c r="F438" i="20"/>
  <c r="E436" i="20"/>
  <c r="E438" i="20"/>
  <c r="D436" i="20"/>
  <c r="B436" i="20"/>
  <c r="A436" i="20"/>
  <c r="AD432" i="20"/>
  <c r="AC432" i="20"/>
  <c r="AB432" i="20"/>
  <c r="AA432" i="20"/>
  <c r="Z432" i="20"/>
  <c r="Y432" i="20"/>
  <c r="X432" i="20"/>
  <c r="W432" i="20"/>
  <c r="V432" i="20"/>
  <c r="U432" i="20"/>
  <c r="T432" i="20"/>
  <c r="S432" i="20"/>
  <c r="R432" i="20"/>
  <c r="Q432" i="20"/>
  <c r="P432" i="20"/>
  <c r="O432" i="20"/>
  <c r="N432" i="20"/>
  <c r="M432" i="20"/>
  <c r="L432" i="20"/>
  <c r="K432" i="20"/>
  <c r="J432" i="20"/>
  <c r="I432" i="20"/>
  <c r="H432" i="20"/>
  <c r="G432" i="20"/>
  <c r="F432" i="20"/>
  <c r="F434" i="20"/>
  <c r="F440" i="20"/>
  <c r="E432" i="20"/>
  <c r="E434" i="20"/>
  <c r="D432" i="20"/>
  <c r="B432" i="20"/>
  <c r="A432" i="20"/>
  <c r="A431" i="20"/>
  <c r="D426" i="20"/>
  <c r="C426" i="20"/>
  <c r="B426" i="20"/>
  <c r="A426" i="20"/>
  <c r="D421" i="20"/>
  <c r="C421" i="20"/>
  <c r="B419" i="20"/>
  <c r="E410" i="20"/>
  <c r="D410" i="20"/>
  <c r="D411" i="20"/>
  <c r="B408" i="20"/>
  <c r="C405" i="20"/>
  <c r="A402" i="20"/>
  <c r="A404" i="20"/>
  <c r="A408" i="20"/>
  <c r="B401" i="20"/>
  <c r="A401" i="20"/>
  <c r="AD400" i="20"/>
  <c r="AC400" i="20"/>
  <c r="AB400" i="20"/>
  <c r="AA400" i="20"/>
  <c r="Z400" i="20"/>
  <c r="Y400" i="20"/>
  <c r="X400" i="20"/>
  <c r="W400" i="20"/>
  <c r="V400" i="20"/>
  <c r="U400" i="20"/>
  <c r="T400" i="20"/>
  <c r="S400" i="20"/>
  <c r="R400" i="20"/>
  <c r="Q400" i="20"/>
  <c r="P400" i="20"/>
  <c r="O400" i="20"/>
  <c r="N400" i="20"/>
  <c r="M400" i="20"/>
  <c r="L400" i="20"/>
  <c r="K400" i="20"/>
  <c r="J400" i="20"/>
  <c r="I400" i="20"/>
  <c r="H400" i="20"/>
  <c r="G400" i="20"/>
  <c r="F400" i="20"/>
  <c r="E400" i="20"/>
  <c r="D400" i="20"/>
  <c r="B400" i="20"/>
  <c r="A400" i="20"/>
  <c r="AD399" i="20"/>
  <c r="AC399" i="20"/>
  <c r="AB399" i="20"/>
  <c r="AA399" i="20"/>
  <c r="Z399" i="20"/>
  <c r="Y399" i="20"/>
  <c r="X399" i="20"/>
  <c r="W399" i="20"/>
  <c r="V399" i="20"/>
  <c r="U399" i="20"/>
  <c r="T399" i="20"/>
  <c r="S399" i="20"/>
  <c r="R399" i="20"/>
  <c r="Q399" i="20"/>
  <c r="P399" i="20"/>
  <c r="O399" i="20"/>
  <c r="N399" i="20"/>
  <c r="M399" i="20"/>
  <c r="L399" i="20"/>
  <c r="K399" i="20"/>
  <c r="J399" i="20"/>
  <c r="I399" i="20"/>
  <c r="H399" i="20"/>
  <c r="G399" i="20"/>
  <c r="F399" i="20"/>
  <c r="E399" i="20"/>
  <c r="D399" i="20"/>
  <c r="B399" i="20"/>
  <c r="A399" i="20"/>
  <c r="AD398" i="20"/>
  <c r="AC398" i="20"/>
  <c r="AB398" i="20"/>
  <c r="AA398" i="20"/>
  <c r="Z398" i="20"/>
  <c r="Y398" i="20"/>
  <c r="X398" i="20"/>
  <c r="W398" i="20"/>
  <c r="V398" i="20"/>
  <c r="U398" i="20"/>
  <c r="T398" i="20"/>
  <c r="S398" i="20"/>
  <c r="R398" i="20"/>
  <c r="Q398" i="20"/>
  <c r="P398" i="20"/>
  <c r="O398" i="20"/>
  <c r="N398" i="20"/>
  <c r="M398" i="20"/>
  <c r="L398" i="20"/>
  <c r="K398" i="20"/>
  <c r="J398" i="20"/>
  <c r="I398" i="20"/>
  <c r="H398" i="20"/>
  <c r="G398" i="20"/>
  <c r="F398" i="20"/>
  <c r="E398" i="20"/>
  <c r="D398" i="20"/>
  <c r="C398" i="20"/>
  <c r="B398" i="20"/>
  <c r="A398" i="20"/>
  <c r="AD397" i="20"/>
  <c r="AC397" i="20"/>
  <c r="AB397" i="20"/>
  <c r="AA397" i="20"/>
  <c r="Z397" i="20"/>
  <c r="Y397" i="20"/>
  <c r="X397" i="20"/>
  <c r="W397" i="20"/>
  <c r="V397" i="20"/>
  <c r="U397" i="20"/>
  <c r="T397" i="20"/>
  <c r="S397" i="20"/>
  <c r="R397" i="20"/>
  <c r="Q397" i="20"/>
  <c r="P397" i="20"/>
  <c r="O397" i="20"/>
  <c r="N397" i="20"/>
  <c r="M397" i="20"/>
  <c r="L397" i="20"/>
  <c r="K397" i="20"/>
  <c r="J397" i="20"/>
  <c r="I397" i="20"/>
  <c r="H397" i="20"/>
  <c r="G397" i="20"/>
  <c r="F397" i="20"/>
  <c r="E397" i="20"/>
  <c r="D397" i="20"/>
  <c r="B397" i="20"/>
  <c r="A397" i="20"/>
  <c r="AD396" i="20"/>
  <c r="AC396" i="20"/>
  <c r="AB396" i="20"/>
  <c r="AA396" i="20"/>
  <c r="Z396" i="20"/>
  <c r="Y396" i="20"/>
  <c r="X396" i="20"/>
  <c r="W396" i="20"/>
  <c r="V396" i="20"/>
  <c r="U396" i="20"/>
  <c r="T396" i="20"/>
  <c r="S396" i="20"/>
  <c r="R396" i="20"/>
  <c r="Q396" i="20"/>
  <c r="P396" i="20"/>
  <c r="O396" i="20"/>
  <c r="N396" i="20"/>
  <c r="M396" i="20"/>
  <c r="L396" i="20"/>
  <c r="K396" i="20"/>
  <c r="J396" i="20"/>
  <c r="D396" i="20"/>
  <c r="E396" i="20"/>
  <c r="F396" i="20"/>
  <c r="C396" i="20"/>
  <c r="I396" i="20"/>
  <c r="H396" i="20"/>
  <c r="G396" i="20"/>
  <c r="B396" i="20"/>
  <c r="A396" i="20"/>
  <c r="E391" i="20"/>
  <c r="D391" i="20"/>
  <c r="D392" i="20"/>
  <c r="B389" i="20"/>
  <c r="C386" i="20"/>
  <c r="A385" i="20"/>
  <c r="A389" i="20"/>
  <c r="X384" i="20"/>
  <c r="W384" i="20"/>
  <c r="T384" i="20"/>
  <c r="Q384" i="20"/>
  <c r="K384" i="20"/>
  <c r="J384" i="20"/>
  <c r="H384" i="20"/>
  <c r="F382" i="20"/>
  <c r="F383" i="20"/>
  <c r="F384" i="20"/>
  <c r="D382" i="20"/>
  <c r="D383" i="20"/>
  <c r="D384" i="20"/>
  <c r="AD383" i="20"/>
  <c r="AC383" i="20"/>
  <c r="AB383" i="20"/>
  <c r="AA383" i="20"/>
  <c r="Z383" i="20"/>
  <c r="Y383" i="20"/>
  <c r="Y384" i="20"/>
  <c r="X383" i="20"/>
  <c r="W383" i="20"/>
  <c r="V383" i="20"/>
  <c r="V384" i="20"/>
  <c r="U383" i="20"/>
  <c r="U384" i="20"/>
  <c r="T383" i="20"/>
  <c r="S383" i="20"/>
  <c r="R383" i="20"/>
  <c r="Q383" i="20"/>
  <c r="P383" i="20"/>
  <c r="O383" i="20"/>
  <c r="N383" i="20"/>
  <c r="M383" i="20"/>
  <c r="M384" i="20"/>
  <c r="L383" i="20"/>
  <c r="L384" i="20"/>
  <c r="K383" i="20"/>
  <c r="J383" i="20"/>
  <c r="I383" i="20"/>
  <c r="I384" i="20"/>
  <c r="H383" i="20"/>
  <c r="G383" i="20"/>
  <c r="E383" i="20"/>
  <c r="B383" i="20"/>
  <c r="A383" i="20"/>
  <c r="AD382" i="20"/>
  <c r="AD384" i="20"/>
  <c r="AC382" i="20"/>
  <c r="AC384" i="20"/>
  <c r="AB382" i="20"/>
  <c r="AB384" i="20"/>
  <c r="AA382" i="20"/>
  <c r="AA384" i="20"/>
  <c r="Z382" i="20"/>
  <c r="Z384" i="20"/>
  <c r="Y382" i="20"/>
  <c r="X382" i="20"/>
  <c r="W382" i="20"/>
  <c r="V382" i="20"/>
  <c r="U382" i="20"/>
  <c r="T382" i="20"/>
  <c r="S382" i="20"/>
  <c r="S384" i="20"/>
  <c r="R382" i="20"/>
  <c r="R384" i="20"/>
  <c r="Q382" i="20"/>
  <c r="P382" i="20"/>
  <c r="P384" i="20"/>
  <c r="O382" i="20"/>
  <c r="O384" i="20"/>
  <c r="N382" i="20"/>
  <c r="N384" i="20"/>
  <c r="M382" i="20"/>
  <c r="L382" i="20"/>
  <c r="K382" i="20"/>
  <c r="J382" i="20"/>
  <c r="I382" i="20"/>
  <c r="H382" i="20"/>
  <c r="G382" i="20"/>
  <c r="G384" i="20"/>
  <c r="E382" i="20"/>
  <c r="B382" i="20"/>
  <c r="A382" i="20"/>
  <c r="D376" i="20"/>
  <c r="D377" i="20"/>
  <c r="D378" i="20"/>
  <c r="B378" i="20"/>
  <c r="A377" i="20"/>
  <c r="AD376" i="20"/>
  <c r="AC376" i="20"/>
  <c r="AB376" i="20"/>
  <c r="AA376" i="20"/>
  <c r="Z376" i="20"/>
  <c r="Y376" i="20"/>
  <c r="X376" i="20"/>
  <c r="W376" i="20"/>
  <c r="V376" i="20"/>
  <c r="U376" i="20"/>
  <c r="T376" i="20"/>
  <c r="S376" i="20"/>
  <c r="R376" i="20"/>
  <c r="Q376" i="20"/>
  <c r="P376" i="20"/>
  <c r="O376" i="20"/>
  <c r="N376" i="20"/>
  <c r="M376" i="20"/>
  <c r="L376" i="20"/>
  <c r="K376" i="20"/>
  <c r="J376" i="20"/>
  <c r="I376" i="20"/>
  <c r="H376" i="20"/>
  <c r="G376" i="20"/>
  <c r="F376" i="20"/>
  <c r="E376" i="20"/>
  <c r="B376" i="20"/>
  <c r="A376" i="20"/>
  <c r="E373" i="20"/>
  <c r="D373" i="20"/>
  <c r="V372" i="20"/>
  <c r="W372" i="20"/>
  <c r="X372" i="20"/>
  <c r="Y372" i="20"/>
  <c r="Z372" i="20"/>
  <c r="AA372" i="20"/>
  <c r="AB372" i="20"/>
  <c r="AC372" i="20"/>
  <c r="AD372" i="20"/>
  <c r="I372" i="20"/>
  <c r="J372" i="20"/>
  <c r="K372" i="20"/>
  <c r="L372" i="20"/>
  <c r="M372" i="20"/>
  <c r="N372" i="20"/>
  <c r="O372" i="20"/>
  <c r="P372" i="20"/>
  <c r="Q372" i="20"/>
  <c r="R372" i="20"/>
  <c r="S372" i="20"/>
  <c r="T372" i="20"/>
  <c r="U372" i="20"/>
  <c r="H372" i="20"/>
  <c r="E372" i="20"/>
  <c r="F372" i="20"/>
  <c r="G372" i="20"/>
  <c r="A359" i="20"/>
  <c r="G357" i="20"/>
  <c r="F357" i="20"/>
  <c r="E357" i="20"/>
  <c r="D357" i="20"/>
  <c r="B357" i="20"/>
  <c r="A357" i="20"/>
  <c r="D350" i="20"/>
  <c r="D354" i="20"/>
  <c r="D401" i="20"/>
  <c r="C352" i="20"/>
  <c r="E350" i="20"/>
  <c r="E354" i="20"/>
  <c r="E401" i="20"/>
  <c r="A350" i="20"/>
  <c r="E349" i="20"/>
  <c r="F349" i="20"/>
  <c r="G349" i="20"/>
  <c r="H349" i="20"/>
  <c r="I349" i="20"/>
  <c r="J349" i="20"/>
  <c r="K349" i="20"/>
  <c r="L349" i="20"/>
  <c r="M349" i="20"/>
  <c r="N349" i="20"/>
  <c r="O349" i="20"/>
  <c r="P349" i="20"/>
  <c r="Q349" i="20"/>
  <c r="R349" i="20"/>
  <c r="S349" i="20"/>
  <c r="T349" i="20"/>
  <c r="U349" i="20"/>
  <c r="V349" i="20"/>
  <c r="W349" i="20"/>
  <c r="X349" i="20"/>
  <c r="Y349" i="20"/>
  <c r="Z349" i="20"/>
  <c r="AA349" i="20"/>
  <c r="AB349" i="20"/>
  <c r="AC349" i="20"/>
  <c r="AD349" i="20"/>
  <c r="AD346" i="20"/>
  <c r="AC346" i="20"/>
  <c r="AB346" i="20"/>
  <c r="AA346" i="20"/>
  <c r="Z346" i="20"/>
  <c r="Y346" i="20"/>
  <c r="X346" i="20"/>
  <c r="W346" i="20"/>
  <c r="V346" i="20"/>
  <c r="U346" i="20"/>
  <c r="T346" i="20"/>
  <c r="S346" i="20"/>
  <c r="R346" i="20"/>
  <c r="Q346" i="20"/>
  <c r="P346" i="20"/>
  <c r="O346" i="20"/>
  <c r="N346" i="20"/>
  <c r="M346" i="20"/>
  <c r="L346" i="20"/>
  <c r="K346" i="20"/>
  <c r="J346" i="20"/>
  <c r="I346" i="20"/>
  <c r="H346" i="20"/>
  <c r="G346" i="20"/>
  <c r="C345" i="20"/>
  <c r="C344" i="20"/>
  <c r="C343" i="20"/>
  <c r="C342" i="20"/>
  <c r="C341" i="20"/>
  <c r="C340" i="20"/>
  <c r="C339" i="20"/>
  <c r="C338" i="20"/>
  <c r="D332" i="20"/>
  <c r="C332" i="20"/>
  <c r="B332" i="20"/>
  <c r="A332" i="20"/>
  <c r="B329" i="20"/>
  <c r="A329" i="20"/>
  <c r="B328" i="20"/>
  <c r="A321" i="20"/>
  <c r="G320" i="20"/>
  <c r="F320" i="20"/>
  <c r="E320" i="20"/>
  <c r="D320" i="20"/>
  <c r="B320" i="20"/>
  <c r="A320" i="20"/>
  <c r="A311" i="20"/>
  <c r="AD310" i="20"/>
  <c r="C310" i="20"/>
  <c r="E309" i="20"/>
  <c r="F309" i="20"/>
  <c r="G309" i="20"/>
  <c r="H309" i="20"/>
  <c r="I309" i="20"/>
  <c r="J309" i="20"/>
  <c r="K309" i="20"/>
  <c r="L309" i="20"/>
  <c r="M309" i="20"/>
  <c r="N309" i="20"/>
  <c r="O309" i="20"/>
  <c r="P309" i="20"/>
  <c r="Q309" i="20"/>
  <c r="R309" i="20"/>
  <c r="S309" i="20"/>
  <c r="T309" i="20"/>
  <c r="U309" i="20"/>
  <c r="V309" i="20"/>
  <c r="W309" i="20"/>
  <c r="X309" i="20"/>
  <c r="Y309" i="20"/>
  <c r="Z309" i="20"/>
  <c r="AA309" i="20"/>
  <c r="AB309" i="20"/>
  <c r="AC309" i="20"/>
  <c r="AD309" i="20"/>
  <c r="B302" i="20"/>
  <c r="A302" i="20"/>
  <c r="B301" i="20"/>
  <c r="A301" i="20"/>
  <c r="B297" i="20"/>
  <c r="A297" i="20"/>
  <c r="B296" i="20"/>
  <c r="A296" i="20"/>
  <c r="D294" i="20"/>
  <c r="C294" i="20"/>
  <c r="B294" i="20"/>
  <c r="A294" i="20"/>
  <c r="F291" i="20"/>
  <c r="E291" i="20"/>
  <c r="D291" i="20"/>
  <c r="B291" i="20"/>
  <c r="A291" i="20"/>
  <c r="D289" i="20"/>
  <c r="B289" i="20"/>
  <c r="A289" i="20"/>
  <c r="A288" i="20"/>
  <c r="F274" i="20"/>
  <c r="E274" i="20"/>
  <c r="D274" i="20"/>
  <c r="B274" i="20"/>
  <c r="A274" i="20"/>
  <c r="B273" i="20"/>
  <c r="A273" i="20"/>
  <c r="E270" i="20"/>
  <c r="D270" i="20"/>
  <c r="B270" i="20"/>
  <c r="A270" i="20"/>
  <c r="B269" i="20"/>
  <c r="A269" i="20"/>
  <c r="D266" i="20"/>
  <c r="B266" i="20"/>
  <c r="A266" i="20"/>
  <c r="B265" i="20"/>
  <c r="A265" i="20"/>
  <c r="F256" i="20"/>
  <c r="E256" i="20"/>
  <c r="D256" i="20"/>
  <c r="B256" i="20"/>
  <c r="A256" i="20"/>
  <c r="D254" i="20"/>
  <c r="A254" i="20"/>
  <c r="D253" i="20"/>
  <c r="B253" i="20"/>
  <c r="A253" i="20"/>
  <c r="A252" i="20"/>
  <c r="B251" i="20"/>
  <c r="A251" i="20"/>
  <c r="H247" i="20"/>
  <c r="G247" i="20"/>
  <c r="F247" i="20"/>
  <c r="E247" i="20"/>
  <c r="D247" i="20"/>
  <c r="B247" i="20"/>
  <c r="A247" i="20"/>
  <c r="D243" i="20"/>
  <c r="B243" i="20"/>
  <c r="A243" i="20"/>
  <c r="D242" i="20"/>
  <c r="B242" i="20"/>
  <c r="A242" i="20"/>
  <c r="D241" i="20"/>
  <c r="B241" i="20"/>
  <c r="A241" i="20"/>
  <c r="D240" i="20"/>
  <c r="B240" i="20"/>
  <c r="A240" i="20"/>
  <c r="D239" i="20"/>
  <c r="B239" i="20"/>
  <c r="A239" i="20"/>
  <c r="D238" i="20"/>
  <c r="B238" i="20"/>
  <c r="A238" i="20"/>
  <c r="D237" i="20"/>
  <c r="B237" i="20"/>
  <c r="A237" i="20"/>
  <c r="D236" i="20"/>
  <c r="B236" i="20"/>
  <c r="A236" i="20"/>
  <c r="D235" i="20"/>
  <c r="B235" i="20"/>
  <c r="A235" i="20"/>
  <c r="D234" i="20"/>
  <c r="B234" i="20"/>
  <c r="A234" i="20"/>
  <c r="D233" i="20"/>
  <c r="B233" i="20"/>
  <c r="A233" i="20"/>
  <c r="A232" i="20"/>
  <c r="B231" i="20"/>
  <c r="A231" i="20"/>
  <c r="H227" i="20"/>
  <c r="G227" i="20"/>
  <c r="F227" i="20"/>
  <c r="E227" i="20"/>
  <c r="D227" i="20"/>
  <c r="B227" i="20"/>
  <c r="A227" i="20"/>
  <c r="D223" i="20"/>
  <c r="B223" i="20"/>
  <c r="A223" i="20"/>
  <c r="D218" i="20"/>
  <c r="B218" i="20"/>
  <c r="A218" i="20"/>
  <c r="D217" i="20"/>
  <c r="B217" i="20"/>
  <c r="A217" i="20"/>
  <c r="D216" i="20"/>
  <c r="B216" i="20"/>
  <c r="A216" i="20"/>
  <c r="D215" i="20"/>
  <c r="D219" i="20"/>
  <c r="D220" i="20"/>
  <c r="B215" i="20"/>
  <c r="A215" i="20"/>
  <c r="D214" i="20"/>
  <c r="B214" i="20"/>
  <c r="A214" i="20"/>
  <c r="A210" i="20"/>
  <c r="D206" i="20"/>
  <c r="C206" i="20"/>
  <c r="B206" i="20"/>
  <c r="A206" i="20"/>
  <c r="F203" i="20"/>
  <c r="G203" i="20"/>
  <c r="H203" i="20"/>
  <c r="I203" i="20"/>
  <c r="J203" i="20"/>
  <c r="K203" i="20"/>
  <c r="L203" i="20"/>
  <c r="M203" i="20"/>
  <c r="N203" i="20"/>
  <c r="O203" i="20"/>
  <c r="P203" i="20"/>
  <c r="Q203" i="20"/>
  <c r="R203" i="20"/>
  <c r="S203" i="20"/>
  <c r="T203" i="20"/>
  <c r="U203" i="20"/>
  <c r="V203" i="20"/>
  <c r="W203" i="20"/>
  <c r="X203" i="20"/>
  <c r="Y203" i="20"/>
  <c r="Z203" i="20"/>
  <c r="AA203" i="20"/>
  <c r="AB203" i="20"/>
  <c r="AC203" i="20"/>
  <c r="AD203" i="20"/>
  <c r="E203" i="20"/>
  <c r="AD200" i="20"/>
  <c r="G199" i="20"/>
  <c r="H199" i="20"/>
  <c r="I199" i="20"/>
  <c r="J199" i="20"/>
  <c r="K199" i="20"/>
  <c r="L199" i="20"/>
  <c r="M199" i="20"/>
  <c r="N199" i="20"/>
  <c r="O199" i="20"/>
  <c r="P199" i="20"/>
  <c r="Q199" i="20"/>
  <c r="R199" i="20"/>
  <c r="S199" i="20"/>
  <c r="T199" i="20"/>
  <c r="U199" i="20"/>
  <c r="V199" i="20"/>
  <c r="W199" i="20"/>
  <c r="X199" i="20"/>
  <c r="Y199" i="20"/>
  <c r="Z199" i="20"/>
  <c r="AA199" i="20"/>
  <c r="AB199" i="20"/>
  <c r="AC199" i="20"/>
  <c r="AD199" i="20"/>
  <c r="E199" i="20"/>
  <c r="F199" i="20"/>
  <c r="G194" i="20"/>
  <c r="H194" i="20"/>
  <c r="I194" i="20"/>
  <c r="J194" i="20"/>
  <c r="K194" i="20"/>
  <c r="L194" i="20"/>
  <c r="M194" i="20"/>
  <c r="N194" i="20"/>
  <c r="O194" i="20"/>
  <c r="P194" i="20"/>
  <c r="Q194" i="20"/>
  <c r="R194" i="20"/>
  <c r="S194" i="20"/>
  <c r="T194" i="20"/>
  <c r="U194" i="20"/>
  <c r="V194" i="20"/>
  <c r="W194" i="20"/>
  <c r="X194" i="20"/>
  <c r="Y194" i="20"/>
  <c r="Z194" i="20"/>
  <c r="AA194" i="20"/>
  <c r="AB194" i="20"/>
  <c r="AC194" i="20"/>
  <c r="AD194" i="20"/>
  <c r="E194" i="20"/>
  <c r="F194" i="20"/>
  <c r="AD191" i="20"/>
  <c r="T190" i="20"/>
  <c r="U190" i="20"/>
  <c r="V190" i="20"/>
  <c r="W190" i="20"/>
  <c r="X190" i="20"/>
  <c r="Y190" i="20"/>
  <c r="Z190" i="20"/>
  <c r="AA190" i="20"/>
  <c r="AB190" i="20"/>
  <c r="AC190" i="20"/>
  <c r="AD190" i="20"/>
  <c r="N190" i="20"/>
  <c r="O190" i="20"/>
  <c r="P190" i="20"/>
  <c r="Q190" i="20"/>
  <c r="R190" i="20"/>
  <c r="S190" i="20"/>
  <c r="G190" i="20"/>
  <c r="H190" i="20"/>
  <c r="I190" i="20"/>
  <c r="J190" i="20"/>
  <c r="K190" i="20"/>
  <c r="L190" i="20"/>
  <c r="M190" i="20"/>
  <c r="F190" i="20"/>
  <c r="E190" i="20"/>
  <c r="D187" i="20"/>
  <c r="C187" i="20"/>
  <c r="B187" i="20"/>
  <c r="A187" i="20"/>
  <c r="A184" i="20"/>
  <c r="A183" i="20"/>
  <c r="A182" i="20"/>
  <c r="A181" i="20"/>
  <c r="E177" i="20"/>
  <c r="E176" i="20"/>
  <c r="F176" i="20"/>
  <c r="G176" i="20"/>
  <c r="H176" i="20"/>
  <c r="I176" i="20"/>
  <c r="J176" i="20"/>
  <c r="K176" i="20"/>
  <c r="L176" i="20"/>
  <c r="M176" i="20"/>
  <c r="N176" i="20"/>
  <c r="O176" i="20"/>
  <c r="P176" i="20"/>
  <c r="Q176" i="20"/>
  <c r="R176" i="20"/>
  <c r="S176" i="20"/>
  <c r="T176" i="20"/>
  <c r="U176" i="20"/>
  <c r="V176" i="20"/>
  <c r="W176" i="20"/>
  <c r="X176" i="20"/>
  <c r="Y176" i="20"/>
  <c r="Z176" i="20"/>
  <c r="AA176" i="20"/>
  <c r="AB176" i="20"/>
  <c r="AC176" i="20"/>
  <c r="AD176" i="20"/>
  <c r="E165" i="20"/>
  <c r="E164" i="20"/>
  <c r="F164" i="20"/>
  <c r="G164" i="20"/>
  <c r="H164" i="20"/>
  <c r="I164" i="20"/>
  <c r="J164" i="20"/>
  <c r="K164" i="20"/>
  <c r="L164" i="20"/>
  <c r="M164" i="20"/>
  <c r="N164" i="20"/>
  <c r="O164" i="20"/>
  <c r="P164" i="20"/>
  <c r="Q164" i="20"/>
  <c r="R164" i="20"/>
  <c r="S164" i="20"/>
  <c r="T164" i="20"/>
  <c r="U164" i="20"/>
  <c r="V164" i="20"/>
  <c r="W164" i="20"/>
  <c r="X164" i="20"/>
  <c r="Y164" i="20"/>
  <c r="Z164" i="20"/>
  <c r="AA164" i="20"/>
  <c r="AB164" i="20"/>
  <c r="AC164" i="20"/>
  <c r="AD164" i="20"/>
  <c r="E163" i="20"/>
  <c r="F163" i="20"/>
  <c r="G163" i="20"/>
  <c r="H163" i="20"/>
  <c r="I163" i="20"/>
  <c r="J163" i="20"/>
  <c r="K163" i="20"/>
  <c r="L163" i="20"/>
  <c r="M163" i="20"/>
  <c r="N163" i="20"/>
  <c r="O163" i="20"/>
  <c r="P163" i="20"/>
  <c r="Q163" i="20"/>
  <c r="R163" i="20"/>
  <c r="S163" i="20"/>
  <c r="T163" i="20"/>
  <c r="U163" i="20"/>
  <c r="V163" i="20"/>
  <c r="W163" i="20"/>
  <c r="X163" i="20"/>
  <c r="Y163" i="20"/>
  <c r="Z163" i="20"/>
  <c r="AA163" i="20"/>
  <c r="AB163" i="20"/>
  <c r="AC163" i="20"/>
  <c r="AD163" i="20"/>
  <c r="E162" i="20"/>
  <c r="F162" i="20"/>
  <c r="G162" i="20"/>
  <c r="H162" i="20"/>
  <c r="I162" i="20"/>
  <c r="J162" i="20"/>
  <c r="K162" i="20"/>
  <c r="L162" i="20"/>
  <c r="M162" i="20"/>
  <c r="N162" i="20"/>
  <c r="O162" i="20"/>
  <c r="P162" i="20"/>
  <c r="Q162" i="20"/>
  <c r="R162" i="20"/>
  <c r="S162" i="20"/>
  <c r="T162" i="20"/>
  <c r="U162" i="20"/>
  <c r="V162" i="20"/>
  <c r="W162" i="20"/>
  <c r="X162" i="20"/>
  <c r="Y162" i="20"/>
  <c r="Z162" i="20"/>
  <c r="AA162" i="20"/>
  <c r="AB162" i="20"/>
  <c r="AC162" i="20"/>
  <c r="AD162" i="20"/>
  <c r="E159" i="20"/>
  <c r="E178" i="20"/>
  <c r="D159" i="20"/>
  <c r="D178" i="20"/>
  <c r="E158" i="20"/>
  <c r="D158" i="20"/>
  <c r="E157" i="20"/>
  <c r="D157" i="20"/>
  <c r="E156" i="20"/>
  <c r="E166" i="20"/>
  <c r="D156" i="20"/>
  <c r="D166" i="20"/>
  <c r="D149" i="20"/>
  <c r="C149" i="20"/>
  <c r="B149" i="20"/>
  <c r="A149" i="20"/>
  <c r="AD146" i="20"/>
  <c r="AC146" i="20"/>
  <c r="AB146" i="20"/>
  <c r="AC153" i="20"/>
  <c r="AA146" i="20"/>
  <c r="AB153" i="20"/>
  <c r="Z146" i="20"/>
  <c r="Y146" i="20"/>
  <c r="Z153" i="20"/>
  <c r="X146" i="20"/>
  <c r="W146" i="20"/>
  <c r="X153" i="20"/>
  <c r="V146" i="20"/>
  <c r="U146" i="20"/>
  <c r="V153" i="20"/>
  <c r="J146" i="20"/>
  <c r="I146" i="20"/>
  <c r="J153" i="20"/>
  <c r="H146" i="20"/>
  <c r="I153" i="20"/>
  <c r="G146" i="20"/>
  <c r="H153" i="20"/>
  <c r="F146" i="20"/>
  <c r="E146" i="20"/>
  <c r="F153" i="20"/>
  <c r="D146" i="20"/>
  <c r="AD145" i="20"/>
  <c r="AD152" i="20"/>
  <c r="AC145" i="20"/>
  <c r="AB145" i="20"/>
  <c r="AC152" i="20"/>
  <c r="AA145" i="20"/>
  <c r="Z145" i="20"/>
  <c r="AA152" i="20"/>
  <c r="Y145" i="20"/>
  <c r="X145" i="20"/>
  <c r="Y152" i="20"/>
  <c r="W145" i="20"/>
  <c r="X152" i="20"/>
  <c r="V145" i="20"/>
  <c r="W152" i="20"/>
  <c r="U145" i="20"/>
  <c r="T145" i="20"/>
  <c r="U152" i="20"/>
  <c r="S145" i="20"/>
  <c r="R145" i="20"/>
  <c r="S152" i="20"/>
  <c r="Q145" i="20"/>
  <c r="R152" i="20"/>
  <c r="D145" i="20"/>
  <c r="I144" i="20"/>
  <c r="J144" i="20"/>
  <c r="K144" i="20"/>
  <c r="G144" i="20"/>
  <c r="H144" i="20"/>
  <c r="AD139" i="20"/>
  <c r="AC139" i="20"/>
  <c r="AB139" i="20"/>
  <c r="AA139" i="20"/>
  <c r="Z139" i="20"/>
  <c r="Y139" i="20"/>
  <c r="X139" i="20"/>
  <c r="W139" i="20"/>
  <c r="V139" i="20"/>
  <c r="U139" i="20"/>
  <c r="Q139" i="20"/>
  <c r="L139" i="20"/>
  <c r="K139" i="20"/>
  <c r="G139" i="20"/>
  <c r="F139" i="20"/>
  <c r="E139" i="20"/>
  <c r="D139" i="20"/>
  <c r="AD138" i="20"/>
  <c r="AD579" i="20"/>
  <c r="AC138" i="20"/>
  <c r="AC579" i="20"/>
  <c r="AB138" i="20"/>
  <c r="AB579" i="20"/>
  <c r="AA138" i="20"/>
  <c r="AA579" i="20"/>
  <c r="Z138" i="20"/>
  <c r="Z579" i="20"/>
  <c r="Y138" i="20"/>
  <c r="Y579" i="20"/>
  <c r="X138" i="20"/>
  <c r="X579" i="20"/>
  <c r="W138" i="20"/>
  <c r="W579" i="20"/>
  <c r="V138" i="20"/>
  <c r="V579" i="20"/>
  <c r="V581" i="20"/>
  <c r="U138" i="20"/>
  <c r="U579" i="20"/>
  <c r="U581" i="20"/>
  <c r="T138" i="20"/>
  <c r="T579" i="20"/>
  <c r="T581" i="20"/>
  <c r="S138" i="20"/>
  <c r="S579" i="20"/>
  <c r="R138" i="20"/>
  <c r="R579" i="20"/>
  <c r="Q138" i="20"/>
  <c r="Q579" i="20"/>
  <c r="P138" i="20"/>
  <c r="P579" i="20"/>
  <c r="O138" i="20"/>
  <c r="O579" i="20"/>
  <c r="N138" i="20"/>
  <c r="N579" i="20"/>
  <c r="M138" i="20"/>
  <c r="M579" i="20"/>
  <c r="L138" i="20"/>
  <c r="L579" i="20"/>
  <c r="K138" i="20"/>
  <c r="K579" i="20"/>
  <c r="J138" i="20"/>
  <c r="J579" i="20"/>
  <c r="J581" i="20"/>
  <c r="I138" i="20"/>
  <c r="I579" i="20"/>
  <c r="I581" i="20"/>
  <c r="H138" i="20"/>
  <c r="H579" i="20"/>
  <c r="H581" i="20"/>
  <c r="G138" i="20"/>
  <c r="G579" i="20"/>
  <c r="G581" i="20"/>
  <c r="F138" i="20"/>
  <c r="F579" i="20"/>
  <c r="F581" i="20"/>
  <c r="E138" i="20"/>
  <c r="E579" i="20"/>
  <c r="E581" i="20"/>
  <c r="D138" i="20"/>
  <c r="D579" i="20"/>
  <c r="AD135" i="20"/>
  <c r="AC135" i="20"/>
  <c r="AB135" i="20"/>
  <c r="AA135" i="20"/>
  <c r="Z135" i="20"/>
  <c r="Y135" i="20"/>
  <c r="X135" i="20"/>
  <c r="W135" i="20"/>
  <c r="V135" i="20"/>
  <c r="U135" i="20"/>
  <c r="L135" i="20"/>
  <c r="K135" i="20"/>
  <c r="J135" i="20"/>
  <c r="I135" i="20"/>
  <c r="H135" i="20"/>
  <c r="G135" i="20"/>
  <c r="F135" i="20"/>
  <c r="E135" i="20"/>
  <c r="D135" i="20"/>
  <c r="AD134" i="20"/>
  <c r="AC134" i="20"/>
  <c r="AC140" i="20"/>
  <c r="AB134" i="20"/>
  <c r="AA134" i="20"/>
  <c r="Z134" i="20"/>
  <c r="Y134" i="20"/>
  <c r="X134" i="20"/>
  <c r="W134" i="20"/>
  <c r="W140" i="20"/>
  <c r="V134" i="20"/>
  <c r="U134" i="20"/>
  <c r="L134" i="20"/>
  <c r="K134" i="20"/>
  <c r="J134" i="20"/>
  <c r="I134" i="20"/>
  <c r="H134" i="20"/>
  <c r="G134" i="20"/>
  <c r="F134" i="20"/>
  <c r="E134" i="20"/>
  <c r="D134" i="20"/>
  <c r="D140" i="20"/>
  <c r="R447" i="20"/>
  <c r="R449" i="20"/>
  <c r="C129" i="20"/>
  <c r="AD126" i="20"/>
  <c r="AC126" i="20"/>
  <c r="AB126" i="20"/>
  <c r="AA126" i="20"/>
  <c r="Z126" i="20"/>
  <c r="Y126" i="20"/>
  <c r="X126" i="20"/>
  <c r="W126" i="20"/>
  <c r="V126" i="20"/>
  <c r="U126" i="20"/>
  <c r="T126" i="20"/>
  <c r="S126" i="20"/>
  <c r="R126" i="20"/>
  <c r="Q126" i="20"/>
  <c r="F126" i="20"/>
  <c r="E126" i="20"/>
  <c r="D126" i="20"/>
  <c r="AD125" i="20"/>
  <c r="AC125" i="20"/>
  <c r="AB125" i="20"/>
  <c r="AA125" i="20"/>
  <c r="Z125" i="20"/>
  <c r="Y125" i="20"/>
  <c r="X125" i="20"/>
  <c r="W125" i="20"/>
  <c r="V125" i="20"/>
  <c r="U125" i="20"/>
  <c r="T125" i="20"/>
  <c r="S125" i="20"/>
  <c r="R125" i="20"/>
  <c r="Q125" i="20"/>
  <c r="H125" i="20"/>
  <c r="F125" i="20"/>
  <c r="E125" i="20"/>
  <c r="D125" i="20"/>
  <c r="AD124" i="20"/>
  <c r="AC124" i="20"/>
  <c r="AB124" i="20"/>
  <c r="AA124" i="20"/>
  <c r="Z124" i="20"/>
  <c r="Y124" i="20"/>
  <c r="X124" i="20"/>
  <c r="W124" i="20"/>
  <c r="V124" i="20"/>
  <c r="U124" i="20"/>
  <c r="T124" i="20"/>
  <c r="S124" i="20"/>
  <c r="R124" i="20"/>
  <c r="Q124" i="20"/>
  <c r="F124" i="20"/>
  <c r="E124" i="20"/>
  <c r="D124" i="20"/>
  <c r="AD123" i="20"/>
  <c r="AD140" i="20"/>
  <c r="AC123" i="20"/>
  <c r="AB123" i="20"/>
  <c r="AB140" i="20"/>
  <c r="AA123" i="20"/>
  <c r="Z123" i="20"/>
  <c r="Z140" i="20"/>
  <c r="Y123" i="20"/>
  <c r="Y140" i="20"/>
  <c r="X123" i="20"/>
  <c r="X140" i="20"/>
  <c r="W123" i="20"/>
  <c r="V123" i="20"/>
  <c r="U123" i="20"/>
  <c r="T123" i="20"/>
  <c r="S123" i="20"/>
  <c r="R123" i="20"/>
  <c r="Q123" i="20"/>
  <c r="G123" i="20"/>
  <c r="G140" i="20"/>
  <c r="F123" i="20"/>
  <c r="E123" i="20"/>
  <c r="E140" i="20"/>
  <c r="D123" i="20"/>
  <c r="H126" i="20"/>
  <c r="G126" i="20"/>
  <c r="G125" i="20"/>
  <c r="G124" i="20"/>
  <c r="I436" i="20"/>
  <c r="I438" i="20"/>
  <c r="H139" i="20"/>
  <c r="C116" i="20"/>
  <c r="D113" i="20"/>
  <c r="C113" i="20"/>
  <c r="B113" i="20"/>
  <c r="A113" i="20"/>
  <c r="E95" i="20"/>
  <c r="D95" i="20"/>
  <c r="A95" i="20"/>
  <c r="D94" i="20"/>
  <c r="C94" i="20"/>
  <c r="B94" i="20"/>
  <c r="A94" i="20"/>
  <c r="B21" i="20"/>
  <c r="A21" i="20"/>
  <c r="B20" i="20"/>
  <c r="B18" i="20"/>
  <c r="A18" i="20"/>
  <c r="B17" i="20"/>
  <c r="B16" i="20"/>
  <c r="B15" i="20"/>
  <c r="B14" i="20"/>
  <c r="B12" i="20"/>
  <c r="B11" i="20"/>
  <c r="A11" i="20"/>
  <c r="B9" i="20"/>
  <c r="A9" i="20"/>
  <c r="B8" i="20"/>
  <c r="A8" i="20"/>
  <c r="B7" i="20"/>
  <c r="A7" i="20"/>
  <c r="B6" i="20"/>
  <c r="A6" i="20"/>
  <c r="A1" i="20"/>
  <c r="A645" i="14"/>
  <c r="A350" i="14"/>
  <c r="B18" i="14"/>
  <c r="B12" i="14"/>
  <c r="B11" i="14"/>
  <c r="A11" i="14"/>
  <c r="B9" i="14"/>
  <c r="B8" i="14"/>
  <c r="B7" i="14"/>
  <c r="B6" i="14"/>
  <c r="A9" i="14"/>
  <c r="A8" i="14"/>
  <c r="A7" i="14"/>
  <c r="A6" i="14"/>
  <c r="D678" i="21"/>
  <c r="G100" i="21"/>
  <c r="F227" i="21"/>
  <c r="E648" i="21"/>
  <c r="F98" i="21"/>
  <c r="F357" i="21"/>
  <c r="E357" i="21"/>
  <c r="E359" i="21"/>
  <c r="E697" i="21"/>
  <c r="E320" i="21"/>
  <c r="K101" i="21"/>
  <c r="J247" i="21"/>
  <c r="G270" i="21"/>
  <c r="H107" i="21"/>
  <c r="H266" i="21"/>
  <c r="I106" i="21"/>
  <c r="J102" i="21"/>
  <c r="I256" i="21"/>
  <c r="I103" i="21"/>
  <c r="H291" i="21"/>
  <c r="H108" i="21"/>
  <c r="G291" i="20"/>
  <c r="H103" i="20"/>
  <c r="I102" i="20"/>
  <c r="H256" i="20"/>
  <c r="J101" i="20"/>
  <c r="I247" i="20"/>
  <c r="G256" i="20"/>
  <c r="I676" i="20"/>
  <c r="I677" i="20"/>
  <c r="J100" i="20"/>
  <c r="A328" i="21"/>
  <c r="A646" i="21"/>
  <c r="K126" i="21"/>
  <c r="L121" i="21"/>
  <c r="AB154" i="21"/>
  <c r="AA410" i="21"/>
  <c r="AA411" i="21"/>
  <c r="X641" i="21"/>
  <c r="X572" i="21"/>
  <c r="X566" i="21"/>
  <c r="X646" i="21"/>
  <c r="X570" i="21"/>
  <c r="X594" i="21"/>
  <c r="X465" i="21"/>
  <c r="X575" i="21"/>
  <c r="X510" i="21"/>
  <c r="X410" i="21"/>
  <c r="X574" i="21"/>
  <c r="X583" i="21"/>
  <c r="X585" i="21"/>
  <c r="X391" i="21"/>
  <c r="X157" i="21"/>
  <c r="X159" i="21"/>
  <c r="X158" i="21"/>
  <c r="X156" i="21"/>
  <c r="X350" i="21"/>
  <c r="X354" i="21"/>
  <c r="X401" i="21"/>
  <c r="X402" i="21"/>
  <c r="K145" i="21"/>
  <c r="L144" i="21"/>
  <c r="R132" i="21"/>
  <c r="R135" i="21"/>
  <c r="AA641" i="21"/>
  <c r="AA646" i="21"/>
  <c r="AA575" i="21"/>
  <c r="AA583" i="21"/>
  <c r="AA585" i="21"/>
  <c r="AA587" i="21"/>
  <c r="AA594" i="21"/>
  <c r="AA566" i="21"/>
  <c r="AA574" i="21"/>
  <c r="AA570" i="21"/>
  <c r="AA510" i="21"/>
  <c r="AA465" i="21"/>
  <c r="AA391" i="21"/>
  <c r="AA392" i="21"/>
  <c r="AA572" i="21"/>
  <c r="AA159" i="21"/>
  <c r="AA156" i="21"/>
  <c r="AA350" i="21"/>
  <c r="AA354" i="21"/>
  <c r="AA401" i="21"/>
  <c r="AA158" i="21"/>
  <c r="AA157" i="21"/>
  <c r="Q134" i="21"/>
  <c r="Q140" i="21"/>
  <c r="D212" i="21"/>
  <c r="D172" i="21"/>
  <c r="D168" i="21"/>
  <c r="D167" i="21"/>
  <c r="D171" i="21"/>
  <c r="D170" i="21"/>
  <c r="L145" i="21"/>
  <c r="Q135" i="21"/>
  <c r="S132" i="21"/>
  <c r="T132" i="21"/>
  <c r="K123" i="21"/>
  <c r="K140" i="21"/>
  <c r="L119" i="21"/>
  <c r="K124" i="21"/>
  <c r="K125" i="21"/>
  <c r="L120" i="21"/>
  <c r="Z154" i="21"/>
  <c r="H436" i="21"/>
  <c r="H438" i="21"/>
  <c r="H440" i="21"/>
  <c r="H125" i="21"/>
  <c r="G124" i="21"/>
  <c r="D599" i="21"/>
  <c r="D461" i="21"/>
  <c r="AB153" i="21"/>
  <c r="I117" i="21"/>
  <c r="H124" i="21"/>
  <c r="R599" i="21"/>
  <c r="P603" i="21"/>
  <c r="D140" i="21"/>
  <c r="F570" i="21"/>
  <c r="F566" i="21"/>
  <c r="E591" i="21"/>
  <c r="E593" i="21"/>
  <c r="F572" i="21"/>
  <c r="F583" i="21"/>
  <c r="F585" i="21"/>
  <c r="F465" i="21"/>
  <c r="E392" i="21"/>
  <c r="F178" i="21"/>
  <c r="E411" i="21"/>
  <c r="F157" i="21"/>
  <c r="F158" i="21"/>
  <c r="D287" i="21"/>
  <c r="D290" i="21"/>
  <c r="D292" i="21"/>
  <c r="D302" i="21"/>
  <c r="D179" i="21"/>
  <c r="E404" i="21"/>
  <c r="E408" i="21"/>
  <c r="M436" i="21"/>
  <c r="M438" i="21"/>
  <c r="M139" i="21"/>
  <c r="N117" i="21"/>
  <c r="AC154" i="21"/>
  <c r="E212" i="21"/>
  <c r="D191" i="21"/>
  <c r="D192" i="21"/>
  <c r="E172" i="21"/>
  <c r="E183" i="21"/>
  <c r="E168" i="21"/>
  <c r="E167" i="21"/>
  <c r="E171" i="21"/>
  <c r="E182" i="21"/>
  <c r="AA140" i="21"/>
  <c r="X587" i="21"/>
  <c r="H139" i="21"/>
  <c r="V599" i="21"/>
  <c r="T603" i="21"/>
  <c r="V461" i="21"/>
  <c r="AD152" i="21"/>
  <c r="AD154" i="21"/>
  <c r="H177" i="21"/>
  <c r="W461" i="21"/>
  <c r="W599" i="21"/>
  <c r="U603" i="21"/>
  <c r="F599" i="21"/>
  <c r="D603" i="21"/>
  <c r="D200" i="21"/>
  <c r="E287" i="21"/>
  <c r="E654" i="21"/>
  <c r="E655" i="21"/>
  <c r="E181" i="21"/>
  <c r="U599" i="21"/>
  <c r="S603" i="21"/>
  <c r="U461" i="21"/>
  <c r="M447" i="21"/>
  <c r="M135" i="21"/>
  <c r="H126" i="21"/>
  <c r="N130" i="21"/>
  <c r="X461" i="21"/>
  <c r="X599" i="21"/>
  <c r="V603" i="21"/>
  <c r="C138" i="21"/>
  <c r="K599" i="21"/>
  <c r="I603" i="21"/>
  <c r="G165" i="21"/>
  <c r="R438" i="21"/>
  <c r="S437" i="21"/>
  <c r="C579" i="21"/>
  <c r="D581" i="21"/>
  <c r="L599" i="21"/>
  <c r="J603" i="21"/>
  <c r="Z599" i="21"/>
  <c r="X603" i="21"/>
  <c r="Z461" i="21"/>
  <c r="V152" i="21"/>
  <c r="V154" i="21"/>
  <c r="U152" i="21"/>
  <c r="R447" i="21"/>
  <c r="R449" i="21"/>
  <c r="S130" i="21"/>
  <c r="AA461" i="21"/>
  <c r="AA599" i="21"/>
  <c r="Y603" i="21"/>
  <c r="G145" i="21"/>
  <c r="W572" i="21"/>
  <c r="W566" i="21"/>
  <c r="W646" i="21"/>
  <c r="W641" i="21"/>
  <c r="W570" i="21"/>
  <c r="W594" i="21"/>
  <c r="W465" i="21"/>
  <c r="W575" i="21"/>
  <c r="W574" i="21"/>
  <c r="W350" i="21"/>
  <c r="W354" i="21"/>
  <c r="W401" i="21"/>
  <c r="W402" i="21"/>
  <c r="W510" i="21"/>
  <c r="W410" i="21"/>
  <c r="W411" i="21"/>
  <c r="W591" i="21"/>
  <c r="W583" i="21"/>
  <c r="W585" i="21"/>
  <c r="W391" i="21"/>
  <c r="W392" i="21"/>
  <c r="W157" i="21"/>
  <c r="W159" i="21"/>
  <c r="W158" i="21"/>
  <c r="W156" i="21"/>
  <c r="F587" i="21"/>
  <c r="AB599" i="21"/>
  <c r="Z603" i="21"/>
  <c r="AB461" i="21"/>
  <c r="H123" i="21"/>
  <c r="H140" i="21"/>
  <c r="V140" i="21"/>
  <c r="Y153" i="21"/>
  <c r="Y154" i="21"/>
  <c r="Z140" i="21"/>
  <c r="E599" i="21"/>
  <c r="E461" i="21"/>
  <c r="Q599" i="21"/>
  <c r="O603" i="21"/>
  <c r="AC599" i="21"/>
  <c r="AA603" i="21"/>
  <c r="AC461" i="21"/>
  <c r="I153" i="21"/>
  <c r="E451" i="21"/>
  <c r="E453" i="21"/>
  <c r="W587" i="21"/>
  <c r="G599" i="21"/>
  <c r="E603" i="21"/>
  <c r="AA419" i="21"/>
  <c r="AA422" i="21"/>
  <c r="E541" i="21"/>
  <c r="F539" i="21"/>
  <c r="C382" i="21"/>
  <c r="X356" i="21"/>
  <c r="D385" i="21"/>
  <c r="Y599" i="21"/>
  <c r="W603" i="21"/>
  <c r="Y461" i="21"/>
  <c r="E179" i="21"/>
  <c r="E184" i="21"/>
  <c r="D411" i="21"/>
  <c r="D354" i="21"/>
  <c r="K433" i="21"/>
  <c r="J434" i="21"/>
  <c r="AD599" i="21"/>
  <c r="AB603" i="21"/>
  <c r="AD461" i="21"/>
  <c r="C376" i="21"/>
  <c r="V384" i="21"/>
  <c r="D377" i="21"/>
  <c r="E373" i="21"/>
  <c r="C346" i="21"/>
  <c r="C11" i="21"/>
  <c r="N445" i="21"/>
  <c r="O444" i="21"/>
  <c r="P444" i="21"/>
  <c r="C399" i="21"/>
  <c r="I521" i="21"/>
  <c r="C398" i="21"/>
  <c r="D392" i="21"/>
  <c r="I555" i="21"/>
  <c r="H559" i="21"/>
  <c r="AA356" i="21"/>
  <c r="E385" i="21"/>
  <c r="E389" i="21"/>
  <c r="E419" i="21"/>
  <c r="E422" i="21"/>
  <c r="G453" i="21"/>
  <c r="W448" i="21"/>
  <c r="X448" i="21"/>
  <c r="V449" i="21"/>
  <c r="C383" i="21"/>
  <c r="L438" i="21"/>
  <c r="F451" i="21"/>
  <c r="F453" i="21"/>
  <c r="C397" i="21"/>
  <c r="Q438" i="21"/>
  <c r="E473" i="21"/>
  <c r="F471" i="21"/>
  <c r="F477" i="21"/>
  <c r="E525" i="21"/>
  <c r="E551" i="21"/>
  <c r="M384" i="21"/>
  <c r="E501" i="21"/>
  <c r="E503" i="21"/>
  <c r="F498" i="21"/>
  <c r="I517" i="21"/>
  <c r="G523" i="21"/>
  <c r="G525" i="21"/>
  <c r="G527" i="21"/>
  <c r="F551" i="21"/>
  <c r="I469" i="21"/>
  <c r="G551" i="21"/>
  <c r="C400" i="21"/>
  <c r="G477" i="21"/>
  <c r="H475" i="21"/>
  <c r="G540" i="21"/>
  <c r="H483" i="21"/>
  <c r="AA402" i="21"/>
  <c r="F482" i="21"/>
  <c r="H533" i="21"/>
  <c r="C396" i="21"/>
  <c r="I533" i="21"/>
  <c r="D460" i="21"/>
  <c r="D458" i="21"/>
  <c r="K531" i="21"/>
  <c r="H551" i="21"/>
  <c r="I545" i="21"/>
  <c r="A745" i="21"/>
  <c r="A15" i="21"/>
  <c r="A766" i="21"/>
  <c r="E533" i="21"/>
  <c r="F532" i="21"/>
  <c r="G532" i="21"/>
  <c r="H532" i="21"/>
  <c r="I532" i="21"/>
  <c r="J532" i="21"/>
  <c r="K532" i="21"/>
  <c r="L532" i="21"/>
  <c r="M532" i="21"/>
  <c r="N532" i="21"/>
  <c r="O532" i="21"/>
  <c r="P532" i="21"/>
  <c r="Q532" i="21"/>
  <c r="R532" i="21"/>
  <c r="S532" i="21"/>
  <c r="T532" i="21"/>
  <c r="U532" i="21"/>
  <c r="V532" i="21"/>
  <c r="W532" i="21"/>
  <c r="X532" i="21"/>
  <c r="Y532" i="21"/>
  <c r="Z532" i="21"/>
  <c r="AA532" i="21"/>
  <c r="AB532" i="21"/>
  <c r="AC532" i="21"/>
  <c r="AD532" i="21"/>
  <c r="A765" i="21"/>
  <c r="A744" i="21"/>
  <c r="A14" i="21"/>
  <c r="U449" i="21"/>
  <c r="H628" i="21"/>
  <c r="K438" i="21"/>
  <c r="D535" i="21"/>
  <c r="E479" i="21"/>
  <c r="E492" i="21"/>
  <c r="E494" i="21"/>
  <c r="E509" i="21"/>
  <c r="D479" i="21"/>
  <c r="D492" i="21"/>
  <c r="D494" i="21"/>
  <c r="E519" i="21"/>
  <c r="F519" i="21"/>
  <c r="F629" i="21"/>
  <c r="F631" i="21"/>
  <c r="F615" i="21"/>
  <c r="F617" i="21"/>
  <c r="G611" i="21"/>
  <c r="E631" i="21"/>
  <c r="K614" i="21"/>
  <c r="A767" i="21"/>
  <c r="A746" i="21"/>
  <c r="A16" i="21"/>
  <c r="A768" i="21"/>
  <c r="A747" i="21"/>
  <c r="A17" i="21"/>
  <c r="E631" i="20"/>
  <c r="F631" i="20"/>
  <c r="E617" i="20"/>
  <c r="O581" i="20"/>
  <c r="AA581" i="20"/>
  <c r="P581" i="20"/>
  <c r="AB581" i="20"/>
  <c r="Q581" i="20"/>
  <c r="AC581" i="20"/>
  <c r="R581" i="20"/>
  <c r="AD581" i="20"/>
  <c r="S581" i="20"/>
  <c r="K581" i="20"/>
  <c r="W581" i="20"/>
  <c r="L581" i="20"/>
  <c r="X581" i="20"/>
  <c r="M581" i="20"/>
  <c r="Y581" i="20"/>
  <c r="N581" i="20"/>
  <c r="Z581" i="20"/>
  <c r="F482" i="20"/>
  <c r="E384" i="20"/>
  <c r="E356" i="20"/>
  <c r="C400" i="20"/>
  <c r="C399" i="20"/>
  <c r="G451" i="20"/>
  <c r="K451" i="20"/>
  <c r="L451" i="20"/>
  <c r="W449" i="20"/>
  <c r="G153" i="20"/>
  <c r="X154" i="20"/>
  <c r="X646" i="20"/>
  <c r="J451" i="20"/>
  <c r="AC154" i="20"/>
  <c r="AC594" i="20"/>
  <c r="I451" i="20"/>
  <c r="AA140" i="20"/>
  <c r="V140" i="20"/>
  <c r="V152" i="20"/>
  <c r="V154" i="20"/>
  <c r="V574" i="20"/>
  <c r="F140" i="20"/>
  <c r="C138" i="20"/>
  <c r="G106" i="20"/>
  <c r="F266" i="20"/>
  <c r="G107" i="20"/>
  <c r="F270" i="20"/>
  <c r="E266" i="20"/>
  <c r="I108" i="20"/>
  <c r="H274" i="20"/>
  <c r="H106" i="20"/>
  <c r="G266" i="20"/>
  <c r="G274" i="20"/>
  <c r="G648" i="20"/>
  <c r="G738" i="20"/>
  <c r="H98" i="20"/>
  <c r="A646" i="20"/>
  <c r="L144" i="20"/>
  <c r="M144" i="20"/>
  <c r="N144" i="20"/>
  <c r="O144" i="20"/>
  <c r="P144" i="20"/>
  <c r="Q144" i="20"/>
  <c r="R144" i="20"/>
  <c r="S144" i="20"/>
  <c r="T144" i="20"/>
  <c r="K146" i="20"/>
  <c r="K145" i="20"/>
  <c r="K123" i="20"/>
  <c r="K140" i="20"/>
  <c r="K125" i="20"/>
  <c r="X641" i="20"/>
  <c r="X510" i="20"/>
  <c r="X594" i="20"/>
  <c r="X566" i="20"/>
  <c r="X410" i="20"/>
  <c r="X575" i="20"/>
  <c r="X570" i="20"/>
  <c r="X350" i="20"/>
  <c r="X354" i="20"/>
  <c r="X401" i="20"/>
  <c r="X402" i="20"/>
  <c r="X465" i="20"/>
  <c r="X391" i="20"/>
  <c r="X158" i="20"/>
  <c r="K126" i="20"/>
  <c r="AC583" i="20"/>
  <c r="AC585" i="20"/>
  <c r="AC587" i="20"/>
  <c r="AC646" i="20"/>
  <c r="AC641" i="20"/>
  <c r="AC572" i="20"/>
  <c r="AC566" i="20"/>
  <c r="AC391" i="20"/>
  <c r="AC465" i="20"/>
  <c r="AC159" i="20"/>
  <c r="AC156" i="20"/>
  <c r="AC157" i="20"/>
  <c r="AC158" i="20"/>
  <c r="H599" i="20"/>
  <c r="F603" i="20"/>
  <c r="Q134" i="20"/>
  <c r="Q140" i="20"/>
  <c r="V572" i="20"/>
  <c r="V465" i="20"/>
  <c r="Q135" i="20"/>
  <c r="I125" i="20"/>
  <c r="AA599" i="20"/>
  <c r="Y603" i="20"/>
  <c r="AA461" i="20"/>
  <c r="M436" i="20"/>
  <c r="M438" i="20"/>
  <c r="M139" i="20"/>
  <c r="M145" i="20"/>
  <c r="AB599" i="20"/>
  <c r="Z603" i="20"/>
  <c r="AB461" i="20"/>
  <c r="Q146" i="20"/>
  <c r="AD153" i="20"/>
  <c r="AD154" i="20"/>
  <c r="D287" i="20"/>
  <c r="D290" i="20"/>
  <c r="D292" i="20"/>
  <c r="D302" i="20"/>
  <c r="D179" i="20"/>
  <c r="M447" i="20"/>
  <c r="M449" i="20"/>
  <c r="L146" i="20"/>
  <c r="M134" i="20"/>
  <c r="D599" i="20"/>
  <c r="D461" i="20"/>
  <c r="T152" i="20"/>
  <c r="E287" i="20"/>
  <c r="D200" i="20"/>
  <c r="I126" i="20"/>
  <c r="M135" i="20"/>
  <c r="R139" i="20"/>
  <c r="AD599" i="20"/>
  <c r="AB603" i="20"/>
  <c r="AD461" i="20"/>
  <c r="F165" i="20"/>
  <c r="H123" i="20"/>
  <c r="U140" i="20"/>
  <c r="R134" i="20"/>
  <c r="R140" i="20"/>
  <c r="F599" i="20"/>
  <c r="D603" i="20"/>
  <c r="I123" i="20"/>
  <c r="I140" i="20"/>
  <c r="E212" i="20"/>
  <c r="D191" i="20"/>
  <c r="D192" i="20"/>
  <c r="U599" i="20"/>
  <c r="S603" i="20"/>
  <c r="U461" i="20"/>
  <c r="I145" i="20"/>
  <c r="H145" i="20"/>
  <c r="E167" i="20"/>
  <c r="E171" i="20"/>
  <c r="E182" i="20"/>
  <c r="E168" i="20"/>
  <c r="E172" i="20"/>
  <c r="E183" i="20"/>
  <c r="E170" i="20"/>
  <c r="Z599" i="20"/>
  <c r="X603" i="20"/>
  <c r="Z461" i="20"/>
  <c r="G599" i="20"/>
  <c r="E603" i="20"/>
  <c r="I139" i="20"/>
  <c r="V599" i="20"/>
  <c r="T603" i="20"/>
  <c r="V461" i="20"/>
  <c r="W153" i="20"/>
  <c r="W154" i="20"/>
  <c r="H436" i="20"/>
  <c r="G145" i="20"/>
  <c r="W461" i="20"/>
  <c r="W599" i="20"/>
  <c r="U603" i="20"/>
  <c r="Z152" i="20"/>
  <c r="Z154" i="20"/>
  <c r="Y153" i="20"/>
  <c r="Y154" i="20"/>
  <c r="K599" i="20"/>
  <c r="I603" i="20"/>
  <c r="D170" i="20"/>
  <c r="D212" i="20"/>
  <c r="D168" i="20"/>
  <c r="D167" i="20"/>
  <c r="X599" i="20"/>
  <c r="V603" i="20"/>
  <c r="X461" i="20"/>
  <c r="L145" i="20"/>
  <c r="AA153" i="20"/>
  <c r="AA154" i="20"/>
  <c r="D581" i="20"/>
  <c r="C579" i="20"/>
  <c r="L599" i="20"/>
  <c r="J603" i="20"/>
  <c r="AB152" i="20"/>
  <c r="AB154" i="20"/>
  <c r="E179" i="20"/>
  <c r="E184" i="20"/>
  <c r="F177" i="20"/>
  <c r="U438" i="20"/>
  <c r="D458" i="20"/>
  <c r="D460" i="20"/>
  <c r="E461" i="20"/>
  <c r="E599" i="20"/>
  <c r="Q599" i="20"/>
  <c r="O603" i="20"/>
  <c r="AC599" i="20"/>
  <c r="AA603" i="20"/>
  <c r="AC461" i="20"/>
  <c r="D356" i="20"/>
  <c r="C11" i="20"/>
  <c r="A765" i="20"/>
  <c r="A744" i="20"/>
  <c r="A14" i="20"/>
  <c r="C376" i="20"/>
  <c r="Y599" i="20"/>
  <c r="W603" i="20"/>
  <c r="Y461" i="20"/>
  <c r="H500" i="20"/>
  <c r="I500" i="20"/>
  <c r="J500" i="20"/>
  <c r="K500" i="20"/>
  <c r="L500" i="20"/>
  <c r="M500" i="20"/>
  <c r="N500" i="20"/>
  <c r="O500" i="20"/>
  <c r="P500" i="20"/>
  <c r="Q500" i="20"/>
  <c r="R500" i="20"/>
  <c r="S500" i="20"/>
  <c r="T500" i="20"/>
  <c r="U500" i="20"/>
  <c r="V500" i="20"/>
  <c r="W500" i="20"/>
  <c r="X500" i="20"/>
  <c r="Y500" i="20"/>
  <c r="Z500" i="20"/>
  <c r="AA500" i="20"/>
  <c r="AB500" i="20"/>
  <c r="AC500" i="20"/>
  <c r="AD500" i="20"/>
  <c r="G501" i="20"/>
  <c r="G503" i="20"/>
  <c r="C382" i="20"/>
  <c r="E402" i="20"/>
  <c r="E404" i="20"/>
  <c r="E408" i="20"/>
  <c r="F473" i="20"/>
  <c r="G471" i="20"/>
  <c r="C397" i="20"/>
  <c r="D402" i="20"/>
  <c r="D535" i="20"/>
  <c r="C384" i="20"/>
  <c r="D385" i="20"/>
  <c r="F484" i="20"/>
  <c r="G482" i="20"/>
  <c r="C443" i="20"/>
  <c r="E445" i="20"/>
  <c r="M451" i="20"/>
  <c r="E477" i="20"/>
  <c r="E479" i="20"/>
  <c r="E492" i="20"/>
  <c r="E494" i="20"/>
  <c r="E509" i="20"/>
  <c r="F475" i="20"/>
  <c r="C383" i="20"/>
  <c r="F373" i="20"/>
  <c r="F385" i="20"/>
  <c r="F389" i="20"/>
  <c r="E377" i="20"/>
  <c r="E378" i="20"/>
  <c r="D414" i="20"/>
  <c r="F453" i="20"/>
  <c r="E385" i="20"/>
  <c r="E389" i="20"/>
  <c r="J498" i="20"/>
  <c r="G521" i="20"/>
  <c r="F523" i="20"/>
  <c r="F525" i="20"/>
  <c r="E359" i="20"/>
  <c r="R445" i="20"/>
  <c r="R451" i="20"/>
  <c r="J545" i="20"/>
  <c r="A706" i="20"/>
  <c r="A328" i="20"/>
  <c r="S438" i="20"/>
  <c r="H519" i="20"/>
  <c r="J519" i="20"/>
  <c r="K517" i="20"/>
  <c r="G434" i="20"/>
  <c r="E440" i="20"/>
  <c r="K438" i="20"/>
  <c r="D507" i="20"/>
  <c r="D494" i="20"/>
  <c r="F501" i="20"/>
  <c r="F503" i="20"/>
  <c r="A745" i="20"/>
  <c r="A15" i="20"/>
  <c r="A766" i="20"/>
  <c r="Q438" i="20"/>
  <c r="G547" i="20"/>
  <c r="H547" i="20"/>
  <c r="I547" i="20"/>
  <c r="J547" i="20"/>
  <c r="K547" i="20"/>
  <c r="L547" i="20"/>
  <c r="M547" i="20"/>
  <c r="N547" i="20"/>
  <c r="O547" i="20"/>
  <c r="P547" i="20"/>
  <c r="Q547" i="20"/>
  <c r="R547" i="20"/>
  <c r="S547" i="20"/>
  <c r="T547" i="20"/>
  <c r="U547" i="20"/>
  <c r="V547" i="20"/>
  <c r="W547" i="20"/>
  <c r="X547" i="20"/>
  <c r="Y547" i="20"/>
  <c r="Z547" i="20"/>
  <c r="AA547" i="20"/>
  <c r="AB547" i="20"/>
  <c r="AC547" i="20"/>
  <c r="AD547" i="20"/>
  <c r="F551" i="20"/>
  <c r="R438" i="20"/>
  <c r="H451" i="20"/>
  <c r="H501" i="20"/>
  <c r="H503" i="20"/>
  <c r="I559" i="20"/>
  <c r="J555" i="20"/>
  <c r="T438" i="20"/>
  <c r="Q449" i="20"/>
  <c r="Q451" i="20"/>
  <c r="G469" i="20"/>
  <c r="F531" i="20"/>
  <c r="E533" i="20"/>
  <c r="V449" i="20"/>
  <c r="H527" i="20"/>
  <c r="G529" i="20"/>
  <c r="F541" i="20"/>
  <c r="G539" i="20"/>
  <c r="H546" i="20"/>
  <c r="I546" i="20"/>
  <c r="J546" i="20"/>
  <c r="K546" i="20"/>
  <c r="L546" i="20"/>
  <c r="M546" i="20"/>
  <c r="N546" i="20"/>
  <c r="O546" i="20"/>
  <c r="P546" i="20"/>
  <c r="Q546" i="20"/>
  <c r="R546" i="20"/>
  <c r="S546" i="20"/>
  <c r="T546" i="20"/>
  <c r="U546" i="20"/>
  <c r="V546" i="20"/>
  <c r="W546" i="20"/>
  <c r="X546" i="20"/>
  <c r="Y546" i="20"/>
  <c r="Z546" i="20"/>
  <c r="AA546" i="20"/>
  <c r="AB546" i="20"/>
  <c r="AC546" i="20"/>
  <c r="AD546" i="20"/>
  <c r="C432" i="20"/>
  <c r="O445" i="20"/>
  <c r="I519" i="20"/>
  <c r="E535" i="20"/>
  <c r="H483" i="20"/>
  <c r="G540" i="20"/>
  <c r="F519" i="20"/>
  <c r="G617" i="20"/>
  <c r="H614" i="20"/>
  <c r="H629" i="20"/>
  <c r="H631" i="20"/>
  <c r="H615" i="20"/>
  <c r="I611" i="20"/>
  <c r="G438" i="20"/>
  <c r="G519" i="20"/>
  <c r="H559" i="20"/>
  <c r="G559" i="20"/>
  <c r="E585" i="20"/>
  <c r="E587" i="20"/>
  <c r="A768" i="20"/>
  <c r="A747" i="20"/>
  <c r="A17" i="20"/>
  <c r="J628" i="20"/>
  <c r="A767" i="20"/>
  <c r="A746" i="20"/>
  <c r="A16" i="20"/>
  <c r="G629" i="20"/>
  <c r="G631" i="20"/>
  <c r="F617" i="20"/>
  <c r="A748" i="14"/>
  <c r="A18" i="14"/>
  <c r="A1" i="14"/>
  <c r="D17" i="9"/>
  <c r="D16" i="9"/>
  <c r="D15" i="9"/>
  <c r="B15" i="9"/>
  <c r="B30" i="9"/>
  <c r="G676" i="21"/>
  <c r="G677" i="21"/>
  <c r="G227" i="21"/>
  <c r="H100" i="21"/>
  <c r="E745" i="21"/>
  <c r="E766" i="21"/>
  <c r="F320" i="21"/>
  <c r="F697" i="21"/>
  <c r="G98" i="21"/>
  <c r="G320" i="21"/>
  <c r="F642" i="21"/>
  <c r="F738" i="21"/>
  <c r="F648" i="21"/>
  <c r="I266" i="21"/>
  <c r="J106" i="21"/>
  <c r="J103" i="21"/>
  <c r="I291" i="21"/>
  <c r="K102" i="21"/>
  <c r="J256" i="21"/>
  <c r="H270" i="21"/>
  <c r="I107" i="21"/>
  <c r="H274" i="21"/>
  <c r="I108" i="21"/>
  <c r="L101" i="21"/>
  <c r="K247" i="21"/>
  <c r="E185" i="21"/>
  <c r="K101" i="20"/>
  <c r="J247" i="20"/>
  <c r="H291" i="20"/>
  <c r="I103" i="20"/>
  <c r="I256" i="20"/>
  <c r="J102" i="20"/>
  <c r="J227" i="20"/>
  <c r="J676" i="20"/>
  <c r="J677" i="20"/>
  <c r="K100" i="20"/>
  <c r="Y566" i="21"/>
  <c r="Y646" i="21"/>
  <c r="Y575" i="21"/>
  <c r="Y641" i="21"/>
  <c r="Y594" i="21"/>
  <c r="Y465" i="21"/>
  <c r="Y591" i="21"/>
  <c r="Y510" i="21"/>
  <c r="Y570" i="21"/>
  <c r="Y391" i="21"/>
  <c r="Y410" i="21"/>
  <c r="Y411" i="21"/>
  <c r="Y572" i="21"/>
  <c r="Y574" i="21"/>
  <c r="Y583" i="21"/>
  <c r="Y585" i="21"/>
  <c r="Y587" i="21"/>
  <c r="Y392" i="21"/>
  <c r="Y159" i="21"/>
  <c r="Y158" i="21"/>
  <c r="Y156" i="21"/>
  <c r="Y350" i="21"/>
  <c r="Y354" i="21"/>
  <c r="Y157" i="21"/>
  <c r="X591" i="21"/>
  <c r="X411" i="21"/>
  <c r="X392" i="21"/>
  <c r="X419" i="21"/>
  <c r="X422" i="21"/>
  <c r="F458" i="21"/>
  <c r="F460" i="21"/>
  <c r="D296" i="21"/>
  <c r="D195" i="21"/>
  <c r="E460" i="21"/>
  <c r="E458" i="21"/>
  <c r="W419" i="21"/>
  <c r="W422" i="21"/>
  <c r="M145" i="21"/>
  <c r="H453" i="21"/>
  <c r="D182" i="21"/>
  <c r="E191" i="21"/>
  <c r="F168" i="21"/>
  <c r="F212" i="21"/>
  <c r="F167" i="21"/>
  <c r="D183" i="21"/>
  <c r="Q444" i="21"/>
  <c r="P445" i="21"/>
  <c r="Y448" i="21"/>
  <c r="X449" i="21"/>
  <c r="X507" i="21"/>
  <c r="I436" i="21"/>
  <c r="I438" i="21"/>
  <c r="I440" i="21"/>
  <c r="I453" i="21"/>
  <c r="J117" i="21"/>
  <c r="I145" i="21"/>
  <c r="I126" i="21"/>
  <c r="I125" i="21"/>
  <c r="I139" i="21"/>
  <c r="I124" i="21"/>
  <c r="I123" i="21"/>
  <c r="I140" i="21"/>
  <c r="K533" i="21"/>
  <c r="L531" i="21"/>
  <c r="J533" i="21"/>
  <c r="L433" i="21"/>
  <c r="K434" i="21"/>
  <c r="R134" i="21"/>
  <c r="R140" i="21"/>
  <c r="D201" i="21"/>
  <c r="AD646" i="21"/>
  <c r="AD641" i="21"/>
  <c r="AD594" i="21"/>
  <c r="AD570" i="21"/>
  <c r="AD574" i="21"/>
  <c r="AD572" i="21"/>
  <c r="AD583" i="21"/>
  <c r="AD585" i="21"/>
  <c r="AD587" i="21"/>
  <c r="AD591" i="21"/>
  <c r="AD566" i="21"/>
  <c r="AD465" i="21"/>
  <c r="AD410" i="21"/>
  <c r="AD391" i="21"/>
  <c r="AD392" i="21"/>
  <c r="AD575" i="21"/>
  <c r="AD510" i="21"/>
  <c r="AD350" i="21"/>
  <c r="AD354" i="21"/>
  <c r="AD411" i="21"/>
  <c r="AD158" i="21"/>
  <c r="AD157" i="21"/>
  <c r="AD156" i="21"/>
  <c r="AD159" i="21"/>
  <c r="E231" i="21"/>
  <c r="D184" i="21"/>
  <c r="E200" i="21"/>
  <c r="F287" i="21"/>
  <c r="F179" i="21"/>
  <c r="F184" i="21"/>
  <c r="L124" i="21"/>
  <c r="M119" i="21"/>
  <c r="M144" i="21"/>
  <c r="N144" i="21"/>
  <c r="O144" i="21"/>
  <c r="P144" i="21"/>
  <c r="Q144" i="21"/>
  <c r="L146" i="21"/>
  <c r="C384" i="21"/>
  <c r="Z646" i="21"/>
  <c r="Z575" i="21"/>
  <c r="Z591" i="21"/>
  <c r="Z641" i="21"/>
  <c r="Z572" i="21"/>
  <c r="Z594" i="21"/>
  <c r="Z566" i="21"/>
  <c r="Z510" i="21"/>
  <c r="Z570" i="21"/>
  <c r="Z391" i="21"/>
  <c r="Z392" i="21"/>
  <c r="Z410" i="21"/>
  <c r="Z411" i="21"/>
  <c r="Z465" i="21"/>
  <c r="Z583" i="21"/>
  <c r="Z585" i="21"/>
  <c r="Z587" i="21"/>
  <c r="Z593" i="21"/>
  <c r="Z350" i="21"/>
  <c r="Z354" i="21"/>
  <c r="Z574" i="21"/>
  <c r="Z157" i="21"/>
  <c r="Z159" i="21"/>
  <c r="Z158" i="21"/>
  <c r="Z156" i="21"/>
  <c r="I628" i="21"/>
  <c r="M599" i="21"/>
  <c r="K603" i="21"/>
  <c r="F533" i="21"/>
  <c r="G533" i="21"/>
  <c r="O445" i="21"/>
  <c r="J469" i="21"/>
  <c r="W507" i="21"/>
  <c r="N447" i="21"/>
  <c r="N449" i="21"/>
  <c r="N451" i="21"/>
  <c r="O130" i="21"/>
  <c r="N135" i="21"/>
  <c r="N134" i="21"/>
  <c r="E251" i="21"/>
  <c r="F350" i="21"/>
  <c r="I177" i="21"/>
  <c r="E535" i="21"/>
  <c r="I523" i="21"/>
  <c r="I525" i="21"/>
  <c r="J521" i="21"/>
  <c r="E377" i="21"/>
  <c r="E378" i="21"/>
  <c r="E414" i="21"/>
  <c r="E416" i="21"/>
  <c r="E710" i="21"/>
  <c r="F373" i="21"/>
  <c r="W593" i="21"/>
  <c r="S447" i="21"/>
  <c r="S449" i="21"/>
  <c r="S139" i="21"/>
  <c r="S134" i="21"/>
  <c r="S140" i="21"/>
  <c r="T130" i="21"/>
  <c r="S135" i="21"/>
  <c r="D655" i="21"/>
  <c r="D654" i="21"/>
  <c r="D181" i="21"/>
  <c r="L152" i="21"/>
  <c r="J545" i="21"/>
  <c r="I551" i="21"/>
  <c r="H165" i="21"/>
  <c r="AA507" i="21"/>
  <c r="G629" i="21"/>
  <c r="G631" i="21"/>
  <c r="H611" i="21"/>
  <c r="G615" i="21"/>
  <c r="G617" i="21"/>
  <c r="D509" i="21"/>
  <c r="H540" i="21"/>
  <c r="I483" i="21"/>
  <c r="G471" i="21"/>
  <c r="F473" i="21"/>
  <c r="F479" i="21"/>
  <c r="G458" i="21"/>
  <c r="G460" i="21"/>
  <c r="D378" i="21"/>
  <c r="W356" i="21"/>
  <c r="C581" i="21"/>
  <c r="D587" i="21"/>
  <c r="H599" i="21"/>
  <c r="F603" i="21"/>
  <c r="E192" i="21"/>
  <c r="D245" i="21"/>
  <c r="D246" i="21"/>
  <c r="D231" i="21"/>
  <c r="F501" i="21"/>
  <c r="F503" i="21"/>
  <c r="F507" i="21"/>
  <c r="G498" i="21"/>
  <c r="N436" i="21"/>
  <c r="N438" i="21"/>
  <c r="N139" i="21"/>
  <c r="O117" i="21"/>
  <c r="N145" i="21"/>
  <c r="J555" i="21"/>
  <c r="I559" i="21"/>
  <c r="G539" i="21"/>
  <c r="F541" i="21"/>
  <c r="X593" i="21"/>
  <c r="E224" i="21"/>
  <c r="L123" i="21"/>
  <c r="L140" i="21"/>
  <c r="AB646" i="21"/>
  <c r="AB591" i="21"/>
  <c r="AB641" i="21"/>
  <c r="AB594" i="21"/>
  <c r="AB572" i="21"/>
  <c r="AB574" i="21"/>
  <c r="AB575" i="21"/>
  <c r="AB566" i="21"/>
  <c r="AB583" i="21"/>
  <c r="AB585" i="21"/>
  <c r="AB587" i="21"/>
  <c r="AB465" i="21"/>
  <c r="AB570" i="21"/>
  <c r="AB510" i="21"/>
  <c r="AB391" i="21"/>
  <c r="AB392" i="21"/>
  <c r="AB350" i="21"/>
  <c r="AB354" i="21"/>
  <c r="AB410" i="21"/>
  <c r="AB411" i="21"/>
  <c r="AB159" i="21"/>
  <c r="AB157" i="21"/>
  <c r="AB156" i="21"/>
  <c r="AB158" i="21"/>
  <c r="V641" i="21"/>
  <c r="V646" i="21"/>
  <c r="V572" i="21"/>
  <c r="V591" i="21"/>
  <c r="V566" i="21"/>
  <c r="V570" i="21"/>
  <c r="V594" i="21"/>
  <c r="V510" i="21"/>
  <c r="V575" i="21"/>
  <c r="V574" i="21"/>
  <c r="V350" i="21"/>
  <c r="V354" i="21"/>
  <c r="V465" i="21"/>
  <c r="V410" i="21"/>
  <c r="V411" i="21"/>
  <c r="V583" i="21"/>
  <c r="V585" i="21"/>
  <c r="V587" i="21"/>
  <c r="V593" i="21"/>
  <c r="V391" i="21"/>
  <c r="V392" i="21"/>
  <c r="V159" i="21"/>
  <c r="V158" i="21"/>
  <c r="V157" i="21"/>
  <c r="V156" i="21"/>
  <c r="D401" i="21"/>
  <c r="D356" i="21"/>
  <c r="L614" i="21"/>
  <c r="L125" i="21"/>
  <c r="M120" i="21"/>
  <c r="W449" i="21"/>
  <c r="G529" i="21"/>
  <c r="H527" i="21"/>
  <c r="T437" i="21"/>
  <c r="S438" i="21"/>
  <c r="AC646" i="21"/>
  <c r="AC641" i="21"/>
  <c r="AC594" i="21"/>
  <c r="AC570" i="21"/>
  <c r="AC572" i="21"/>
  <c r="AC583" i="21"/>
  <c r="AC585" i="21"/>
  <c r="AC587" i="21"/>
  <c r="AC575" i="21"/>
  <c r="AC566" i="21"/>
  <c r="AC391" i="21"/>
  <c r="AC392" i="21"/>
  <c r="AC591" i="21"/>
  <c r="AC510" i="21"/>
  <c r="AC350" i="21"/>
  <c r="AC354" i="21"/>
  <c r="AC574" i="21"/>
  <c r="AC410" i="21"/>
  <c r="AC411" i="21"/>
  <c r="AC465" i="21"/>
  <c r="AC159" i="21"/>
  <c r="AC158" i="21"/>
  <c r="AC157" i="21"/>
  <c r="AC156" i="21"/>
  <c r="J517" i="21"/>
  <c r="I519" i="21"/>
  <c r="H152" i="21"/>
  <c r="H154" i="21"/>
  <c r="D224" i="21"/>
  <c r="D221" i="21"/>
  <c r="F484" i="21"/>
  <c r="G482" i="21"/>
  <c r="H477" i="21"/>
  <c r="I475" i="21"/>
  <c r="M449" i="21"/>
  <c r="L126" i="21"/>
  <c r="M121" i="21"/>
  <c r="D389" i="21"/>
  <c r="H145" i="21"/>
  <c r="D255" i="21"/>
  <c r="D251" i="21"/>
  <c r="AA591" i="21"/>
  <c r="AA593" i="21"/>
  <c r="G440" i="20"/>
  <c r="G453" i="20"/>
  <c r="G458" i="20"/>
  <c r="G460" i="20"/>
  <c r="V570" i="20"/>
  <c r="V641" i="20"/>
  <c r="V350" i="20"/>
  <c r="V354" i="20"/>
  <c r="V401" i="20"/>
  <c r="V402" i="20"/>
  <c r="V575" i="20"/>
  <c r="V159" i="20"/>
  <c r="V410" i="20"/>
  <c r="V411" i="20"/>
  <c r="AC350" i="20"/>
  <c r="AC354" i="20"/>
  <c r="AC356" i="20"/>
  <c r="AC570" i="20"/>
  <c r="V157" i="20"/>
  <c r="V566" i="20"/>
  <c r="AC575" i="20"/>
  <c r="V156" i="20"/>
  <c r="V594" i="20"/>
  <c r="AC574" i="20"/>
  <c r="X574" i="20"/>
  <c r="V158" i="20"/>
  <c r="V646" i="20"/>
  <c r="AC410" i="20"/>
  <c r="AC411" i="20"/>
  <c r="X157" i="20"/>
  <c r="X572" i="20"/>
  <c r="V391" i="20"/>
  <c r="V583" i="20"/>
  <c r="V585" i="20"/>
  <c r="V587" i="20"/>
  <c r="AC510" i="20"/>
  <c r="X156" i="20"/>
  <c r="X583" i="20"/>
  <c r="X585" i="20"/>
  <c r="X587" i="20"/>
  <c r="V510" i="20"/>
  <c r="X159" i="20"/>
  <c r="X356" i="20"/>
  <c r="M152" i="20"/>
  <c r="I152" i="20"/>
  <c r="I154" i="20"/>
  <c r="I570" i="20"/>
  <c r="H107" i="20"/>
  <c r="G270" i="20"/>
  <c r="I106" i="20"/>
  <c r="H266" i="20"/>
  <c r="I274" i="20"/>
  <c r="J108" i="20"/>
  <c r="I98" i="20"/>
  <c r="H642" i="20"/>
  <c r="H320" i="20"/>
  <c r="H738" i="20"/>
  <c r="H648" i="20"/>
  <c r="H357" i="20"/>
  <c r="H697" i="20"/>
  <c r="Y641" i="20"/>
  <c r="Y572" i="20"/>
  <c r="Y510" i="20"/>
  <c r="Y570" i="20"/>
  <c r="Y594" i="20"/>
  <c r="Y583" i="20"/>
  <c r="Y585" i="20"/>
  <c r="Y587" i="20"/>
  <c r="Y591" i="20"/>
  <c r="Y566" i="20"/>
  <c r="Y646" i="20"/>
  <c r="Y574" i="20"/>
  <c r="Y575" i="20"/>
  <c r="Y465" i="20"/>
  <c r="Y391" i="20"/>
  <c r="Y392" i="20"/>
  <c r="Y350" i="20"/>
  <c r="Y354" i="20"/>
  <c r="Y410" i="20"/>
  <c r="Y411" i="20"/>
  <c r="Y158" i="20"/>
  <c r="Y159" i="20"/>
  <c r="Y156" i="20"/>
  <c r="Y157" i="20"/>
  <c r="X392" i="20"/>
  <c r="X591" i="20"/>
  <c r="X411" i="20"/>
  <c r="V419" i="20"/>
  <c r="V422" i="20"/>
  <c r="AA641" i="20"/>
  <c r="AA566" i="20"/>
  <c r="AA575" i="20"/>
  <c r="AA574" i="20"/>
  <c r="AA594" i="20"/>
  <c r="AA646" i="20"/>
  <c r="AA583" i="20"/>
  <c r="AA585" i="20"/>
  <c r="AA587" i="20"/>
  <c r="AA572" i="20"/>
  <c r="AA510" i="20"/>
  <c r="AA465" i="20"/>
  <c r="AA570" i="20"/>
  <c r="AA591" i="20"/>
  <c r="AA350" i="20"/>
  <c r="AA354" i="20"/>
  <c r="AA410" i="20"/>
  <c r="AA411" i="20"/>
  <c r="AA391" i="20"/>
  <c r="AA392" i="20"/>
  <c r="AA158" i="20"/>
  <c r="AA159" i="20"/>
  <c r="AA156" i="20"/>
  <c r="AA157" i="20"/>
  <c r="W641" i="20"/>
  <c r="W583" i="20"/>
  <c r="W585" i="20"/>
  <c r="W587" i="20"/>
  <c r="W646" i="20"/>
  <c r="W594" i="20"/>
  <c r="W591" i="20"/>
  <c r="W575" i="20"/>
  <c r="W574" i="20"/>
  <c r="W410" i="20"/>
  <c r="W411" i="20"/>
  <c r="W350" i="20"/>
  <c r="W354" i="20"/>
  <c r="W510" i="20"/>
  <c r="W570" i="20"/>
  <c r="W391" i="20"/>
  <c r="W392" i="20"/>
  <c r="W566" i="20"/>
  <c r="W572" i="20"/>
  <c r="W465" i="20"/>
  <c r="W157" i="20"/>
  <c r="W158" i="20"/>
  <c r="W159" i="20"/>
  <c r="W156" i="20"/>
  <c r="V392" i="20"/>
  <c r="V591" i="20"/>
  <c r="AD591" i="20"/>
  <c r="AD583" i="20"/>
  <c r="AD585" i="20"/>
  <c r="AD587" i="20"/>
  <c r="AD575" i="20"/>
  <c r="AD574" i="20"/>
  <c r="AD572" i="20"/>
  <c r="AD566" i="20"/>
  <c r="AD646" i="20"/>
  <c r="AD641" i="20"/>
  <c r="AD391" i="20"/>
  <c r="AD392" i="20"/>
  <c r="AD465" i="20"/>
  <c r="AD410" i="20"/>
  <c r="AD411" i="20"/>
  <c r="AD570" i="20"/>
  <c r="AD594" i="20"/>
  <c r="AD350" i="20"/>
  <c r="AD354" i="20"/>
  <c r="AD510" i="20"/>
  <c r="AD159" i="20"/>
  <c r="AD156" i="20"/>
  <c r="AD158" i="20"/>
  <c r="AD157" i="20"/>
  <c r="AC591" i="20"/>
  <c r="AC593" i="20"/>
  <c r="AC392" i="20"/>
  <c r="I551" i="20"/>
  <c r="D654" i="20"/>
  <c r="D655" i="20"/>
  <c r="D181" i="20"/>
  <c r="S447" i="20"/>
  <c r="S449" i="20"/>
  <c r="S135" i="20"/>
  <c r="S134" i="20"/>
  <c r="S140" i="20"/>
  <c r="S139" i="20"/>
  <c r="S146" i="20"/>
  <c r="R599" i="20"/>
  <c r="P603" i="20"/>
  <c r="L125" i="20"/>
  <c r="I629" i="20"/>
  <c r="I631" i="20"/>
  <c r="I615" i="20"/>
  <c r="J611" i="20"/>
  <c r="G541" i="20"/>
  <c r="H539" i="20"/>
  <c r="E419" i="20"/>
  <c r="E422" i="20"/>
  <c r="H434" i="20"/>
  <c r="J551" i="20"/>
  <c r="K545" i="20"/>
  <c r="D404" i="20"/>
  <c r="G177" i="20"/>
  <c r="N436" i="20"/>
  <c r="N438" i="20"/>
  <c r="N145" i="20"/>
  <c r="N139" i="20"/>
  <c r="X449" i="20"/>
  <c r="H152" i="20"/>
  <c r="H154" i="20"/>
  <c r="N447" i="20"/>
  <c r="N135" i="20"/>
  <c r="N146" i="20"/>
  <c r="N134" i="20"/>
  <c r="X507" i="20"/>
  <c r="H140" i="20"/>
  <c r="H540" i="20"/>
  <c r="I483" i="20"/>
  <c r="D416" i="20"/>
  <c r="G475" i="20"/>
  <c r="F477" i="20"/>
  <c r="F479" i="20"/>
  <c r="F492" i="20"/>
  <c r="K628" i="20"/>
  <c r="H521" i="20"/>
  <c r="G523" i="20"/>
  <c r="G525" i="20"/>
  <c r="G373" i="20"/>
  <c r="F377" i="20"/>
  <c r="F378" i="20"/>
  <c r="G484" i="20"/>
  <c r="H482" i="20"/>
  <c r="D359" i="20"/>
  <c r="M146" i="20"/>
  <c r="N153" i="20"/>
  <c r="H438" i="20"/>
  <c r="E654" i="20"/>
  <c r="E655" i="20"/>
  <c r="E181" i="20"/>
  <c r="E185" i="20"/>
  <c r="X419" i="20"/>
  <c r="X422" i="20"/>
  <c r="L123" i="20"/>
  <c r="L140" i="20"/>
  <c r="H617" i="20"/>
  <c r="I614" i="20"/>
  <c r="H551" i="20"/>
  <c r="H529" i="20"/>
  <c r="I527" i="20"/>
  <c r="S445" i="20"/>
  <c r="AB641" i="20"/>
  <c r="AB575" i="20"/>
  <c r="AB570" i="20"/>
  <c r="AB594" i="20"/>
  <c r="AB646" i="20"/>
  <c r="AB591" i="20"/>
  <c r="AB572" i="20"/>
  <c r="AB566" i="20"/>
  <c r="AB465" i="20"/>
  <c r="AB583" i="20"/>
  <c r="AB585" i="20"/>
  <c r="AB587" i="20"/>
  <c r="AB410" i="20"/>
  <c r="AB411" i="20"/>
  <c r="AB510" i="20"/>
  <c r="AB574" i="20"/>
  <c r="AB391" i="20"/>
  <c r="AB392" i="20"/>
  <c r="AB350" i="20"/>
  <c r="AB354" i="20"/>
  <c r="AB157" i="20"/>
  <c r="AB158" i="20"/>
  <c r="AB159" i="20"/>
  <c r="AB156" i="20"/>
  <c r="E251" i="20"/>
  <c r="N152" i="20"/>
  <c r="L126" i="20"/>
  <c r="F458" i="20"/>
  <c r="F460" i="20"/>
  <c r="D245" i="20"/>
  <c r="D246" i="20"/>
  <c r="D231" i="20"/>
  <c r="J559" i="20"/>
  <c r="K555" i="20"/>
  <c r="E231" i="20"/>
  <c r="E224" i="20"/>
  <c r="M599" i="20"/>
  <c r="K603" i="20"/>
  <c r="V507" i="20"/>
  <c r="L152" i="20"/>
  <c r="Z641" i="20"/>
  <c r="Z572" i="20"/>
  <c r="Z566" i="20"/>
  <c r="Z575" i="20"/>
  <c r="Z574" i="20"/>
  <c r="Z594" i="20"/>
  <c r="Z646" i="20"/>
  <c r="Z591" i="20"/>
  <c r="Z510" i="20"/>
  <c r="Z583" i="20"/>
  <c r="Z585" i="20"/>
  <c r="Z587" i="20"/>
  <c r="Z465" i="20"/>
  <c r="Z570" i="20"/>
  <c r="Z391" i="20"/>
  <c r="Z392" i="20"/>
  <c r="Z350" i="20"/>
  <c r="Z354" i="20"/>
  <c r="Z410" i="20"/>
  <c r="Z157" i="20"/>
  <c r="Z411" i="20"/>
  <c r="Z159" i="20"/>
  <c r="Z158" i="20"/>
  <c r="Z156" i="20"/>
  <c r="J501" i="20"/>
  <c r="J503" i="20"/>
  <c r="K498" i="20"/>
  <c r="D419" i="20"/>
  <c r="V356" i="20"/>
  <c r="I501" i="20"/>
  <c r="I503" i="20"/>
  <c r="G473" i="20"/>
  <c r="H471" i="20"/>
  <c r="D255" i="20"/>
  <c r="D251" i="20"/>
  <c r="R146" i="20"/>
  <c r="S153" i="20"/>
  <c r="S154" i="20"/>
  <c r="D201" i="20"/>
  <c r="D389" i="20"/>
  <c r="I572" i="20"/>
  <c r="D184" i="20"/>
  <c r="L153" i="20"/>
  <c r="K153" i="20"/>
  <c r="K519" i="20"/>
  <c r="L517" i="20"/>
  <c r="D171" i="20"/>
  <c r="I599" i="20"/>
  <c r="G603" i="20"/>
  <c r="H124" i="20"/>
  <c r="G551" i="20"/>
  <c r="D172" i="20"/>
  <c r="G165" i="20"/>
  <c r="E591" i="20"/>
  <c r="F583" i="20"/>
  <c r="F465" i="20"/>
  <c r="F572" i="20"/>
  <c r="F570" i="20"/>
  <c r="F566" i="20"/>
  <c r="E411" i="20"/>
  <c r="F350" i="20"/>
  <c r="E392" i="20"/>
  <c r="F159" i="20"/>
  <c r="F178" i="20"/>
  <c r="F179" i="20"/>
  <c r="F184" i="20"/>
  <c r="F157" i="20"/>
  <c r="F158" i="20"/>
  <c r="E451" i="20"/>
  <c r="AC507" i="20"/>
  <c r="F535" i="20"/>
  <c r="G531" i="20"/>
  <c r="F533" i="20"/>
  <c r="D509" i="20"/>
  <c r="Z449" i="20"/>
  <c r="D587" i="20"/>
  <c r="C581" i="20"/>
  <c r="D296" i="20"/>
  <c r="D195" i="20"/>
  <c r="X593" i="20"/>
  <c r="H469" i="20"/>
  <c r="Y449" i="20"/>
  <c r="E766" i="20"/>
  <c r="E745" i="20"/>
  <c r="V438" i="20"/>
  <c r="J436" i="20"/>
  <c r="J438" i="20"/>
  <c r="J126" i="20"/>
  <c r="J123" i="20"/>
  <c r="J140" i="20"/>
  <c r="J139" i="20"/>
  <c r="J145" i="20"/>
  <c r="K152" i="20"/>
  <c r="K154" i="20"/>
  <c r="J125" i="20"/>
  <c r="D224" i="20"/>
  <c r="D221" i="20"/>
  <c r="R135" i="20"/>
  <c r="D18" i="9"/>
  <c r="B25" i="9"/>
  <c r="A25" i="9"/>
  <c r="B20" i="9"/>
  <c r="A20" i="9"/>
  <c r="D12" i="9"/>
  <c r="D11" i="9"/>
  <c r="D10" i="9"/>
  <c r="D8" i="9"/>
  <c r="A1" i="9"/>
  <c r="G738" i="21"/>
  <c r="H676" i="21"/>
  <c r="H677" i="21"/>
  <c r="H227" i="21"/>
  <c r="I100" i="21"/>
  <c r="G648" i="21"/>
  <c r="G357" i="21"/>
  <c r="G697" i="21"/>
  <c r="G642" i="21"/>
  <c r="H98" i="21"/>
  <c r="H642" i="21"/>
  <c r="K256" i="21"/>
  <c r="L102" i="21"/>
  <c r="J291" i="21"/>
  <c r="K103" i="21"/>
  <c r="L247" i="21"/>
  <c r="M101" i="21"/>
  <c r="J266" i="21"/>
  <c r="K106" i="21"/>
  <c r="I274" i="21"/>
  <c r="J108" i="21"/>
  <c r="I270" i="21"/>
  <c r="J107" i="21"/>
  <c r="L101" i="20"/>
  <c r="K247" i="20"/>
  <c r="J256" i="20"/>
  <c r="K102" i="20"/>
  <c r="I291" i="20"/>
  <c r="J103" i="20"/>
  <c r="K676" i="20"/>
  <c r="K677" i="20"/>
  <c r="L100" i="20"/>
  <c r="K227" i="20"/>
  <c r="G461" i="21"/>
  <c r="F461" i="21"/>
  <c r="D269" i="21"/>
  <c r="D271" i="21"/>
  <c r="D248" i="21"/>
  <c r="R144" i="21"/>
  <c r="Q146" i="21"/>
  <c r="AD507" i="21"/>
  <c r="D618" i="21"/>
  <c r="Y401" i="21"/>
  <c r="Y402" i="21"/>
  <c r="Y356" i="21"/>
  <c r="D390" i="21"/>
  <c r="E388" i="21"/>
  <c r="E390" i="21"/>
  <c r="F388" i="21"/>
  <c r="D226" i="21"/>
  <c r="M614" i="21"/>
  <c r="AB356" i="21"/>
  <c r="AB401" i="21"/>
  <c r="AB402" i="21"/>
  <c r="D593" i="21"/>
  <c r="J551" i="21"/>
  <c r="K545" i="21"/>
  <c r="T447" i="21"/>
  <c r="T449" i="21"/>
  <c r="T135" i="21"/>
  <c r="T134" i="21"/>
  <c r="T140" i="21"/>
  <c r="T139" i="21"/>
  <c r="N119" i="21"/>
  <c r="M124" i="21"/>
  <c r="K440" i="21"/>
  <c r="K453" i="21"/>
  <c r="I599" i="21"/>
  <c r="R444" i="21"/>
  <c r="Q445" i="21"/>
  <c r="Q451" i="21"/>
  <c r="G501" i="21"/>
  <c r="G503" i="21"/>
  <c r="H498" i="21"/>
  <c r="G541" i="21"/>
  <c r="H539" i="21"/>
  <c r="S599" i="21"/>
  <c r="Q603" i="21"/>
  <c r="AD593" i="21"/>
  <c r="H458" i="21"/>
  <c r="H460" i="21"/>
  <c r="Y507" i="21"/>
  <c r="N121" i="21"/>
  <c r="M126" i="21"/>
  <c r="AC401" i="21"/>
  <c r="AC402" i="21"/>
  <c r="AC356" i="21"/>
  <c r="D359" i="21"/>
  <c r="V507" i="21"/>
  <c r="H629" i="21"/>
  <c r="H631" i="21"/>
  <c r="H615" i="21"/>
  <c r="H617" i="21"/>
  <c r="I611" i="21"/>
  <c r="J177" i="21"/>
  <c r="O447" i="21"/>
  <c r="O135" i="21"/>
  <c r="P130" i="21"/>
  <c r="O134" i="21"/>
  <c r="F231" i="21"/>
  <c r="H583" i="21"/>
  <c r="H585" i="21"/>
  <c r="H587" i="21"/>
  <c r="H570" i="21"/>
  <c r="H572" i="21"/>
  <c r="H566" i="21"/>
  <c r="H465" i="21"/>
  <c r="H350" i="21"/>
  <c r="H354" i="21"/>
  <c r="H159" i="21"/>
  <c r="H178" i="21"/>
  <c r="H158" i="21"/>
  <c r="H157" i="21"/>
  <c r="K517" i="21"/>
  <c r="J519" i="21"/>
  <c r="D402" i="21"/>
  <c r="K555" i="21"/>
  <c r="J559" i="21"/>
  <c r="D414" i="21"/>
  <c r="L572" i="21"/>
  <c r="L566" i="21"/>
  <c r="L583" i="21"/>
  <c r="L585" i="21"/>
  <c r="L587" i="21"/>
  <c r="L570" i="21"/>
  <c r="L465" i="21"/>
  <c r="L350" i="21"/>
  <c r="L354" i="21"/>
  <c r="L157" i="21"/>
  <c r="L159" i="21"/>
  <c r="L158" i="21"/>
  <c r="F354" i="21"/>
  <c r="N146" i="21"/>
  <c r="J436" i="21"/>
  <c r="J124" i="21"/>
  <c r="J145" i="21"/>
  <c r="K152" i="21"/>
  <c r="J126" i="21"/>
  <c r="J139" i="21"/>
  <c r="J125" i="21"/>
  <c r="J123" i="21"/>
  <c r="M433" i="21"/>
  <c r="L434" i="21"/>
  <c r="L440" i="21"/>
  <c r="L453" i="21"/>
  <c r="M146" i="21"/>
  <c r="N153" i="21"/>
  <c r="V401" i="21"/>
  <c r="V402" i="21"/>
  <c r="V356" i="21"/>
  <c r="T438" i="21"/>
  <c r="U437" i="21"/>
  <c r="G373" i="21"/>
  <c r="F377" i="21"/>
  <c r="F385" i="21"/>
  <c r="F654" i="21"/>
  <c r="F181" i="21"/>
  <c r="Z401" i="21"/>
  <c r="Z402" i="21"/>
  <c r="Z356" i="21"/>
  <c r="AD401" i="21"/>
  <c r="AD402" i="21"/>
  <c r="AD356" i="21"/>
  <c r="F535" i="21"/>
  <c r="F574" i="21"/>
  <c r="I458" i="21"/>
  <c r="I460" i="21"/>
  <c r="F251" i="21"/>
  <c r="Y593" i="21"/>
  <c r="M451" i="21"/>
  <c r="I527" i="21"/>
  <c r="H529" i="21"/>
  <c r="H535" i="21"/>
  <c r="AB507" i="21"/>
  <c r="M123" i="21"/>
  <c r="M140" i="21"/>
  <c r="O436" i="21"/>
  <c r="O438" i="21"/>
  <c r="O139" i="21"/>
  <c r="P117" i="21"/>
  <c r="O145" i="21"/>
  <c r="D185" i="21"/>
  <c r="F171" i="21"/>
  <c r="N152" i="21"/>
  <c r="D257" i="21"/>
  <c r="D273" i="21"/>
  <c r="D275" i="21"/>
  <c r="G535" i="21"/>
  <c r="AB593" i="21"/>
  <c r="I165" i="21"/>
  <c r="J523" i="21"/>
  <c r="J525" i="21"/>
  <c r="K521" i="21"/>
  <c r="J628" i="21"/>
  <c r="M531" i="21"/>
  <c r="L533" i="21"/>
  <c r="F172" i="21"/>
  <c r="I152" i="21"/>
  <c r="I154" i="21"/>
  <c r="I477" i="21"/>
  <c r="J475" i="21"/>
  <c r="F492" i="21"/>
  <c r="F494" i="21"/>
  <c r="Z507" i="21"/>
  <c r="G570" i="21"/>
  <c r="G583" i="21"/>
  <c r="G591" i="21"/>
  <c r="G566" i="21"/>
  <c r="G572" i="21"/>
  <c r="G350" i="21"/>
  <c r="G354" i="21"/>
  <c r="G465" i="21"/>
  <c r="G159" i="21"/>
  <c r="G178" i="21"/>
  <c r="G158" i="21"/>
  <c r="G157" i="21"/>
  <c r="F591" i="21"/>
  <c r="N599" i="21"/>
  <c r="L603" i="21"/>
  <c r="E296" i="21"/>
  <c r="E195" i="21"/>
  <c r="E618" i="21"/>
  <c r="H471" i="21"/>
  <c r="G473" i="21"/>
  <c r="G479" i="21"/>
  <c r="D303" i="21"/>
  <c r="D301" i="21"/>
  <c r="D204" i="21"/>
  <c r="G484" i="21"/>
  <c r="H482" i="21"/>
  <c r="AC507" i="21"/>
  <c r="AC593" i="21"/>
  <c r="N120" i="21"/>
  <c r="M125" i="21"/>
  <c r="I540" i="21"/>
  <c r="J483" i="21"/>
  <c r="K469" i="21"/>
  <c r="M153" i="21"/>
  <c r="E201" i="21"/>
  <c r="Z448" i="21"/>
  <c r="Y449" i="21"/>
  <c r="M152" i="21"/>
  <c r="AD593" i="20"/>
  <c r="AC401" i="20"/>
  <c r="AC402" i="20"/>
  <c r="W593" i="20"/>
  <c r="R153" i="20"/>
  <c r="R154" i="20"/>
  <c r="N154" i="20"/>
  <c r="V593" i="20"/>
  <c r="I158" i="20"/>
  <c r="I159" i="20"/>
  <c r="I157" i="20"/>
  <c r="I350" i="20"/>
  <c r="I354" i="20"/>
  <c r="I356" i="20"/>
  <c r="I465" i="20"/>
  <c r="F574" i="20"/>
  <c r="F575" i="20"/>
  <c r="I566" i="20"/>
  <c r="I583" i="20"/>
  <c r="I585" i="20"/>
  <c r="I587" i="20"/>
  <c r="Z593" i="20"/>
  <c r="H270" i="20"/>
  <c r="I107" i="20"/>
  <c r="J106" i="20"/>
  <c r="I266" i="20"/>
  <c r="J274" i="20"/>
  <c r="K108" i="20"/>
  <c r="I642" i="20"/>
  <c r="J98" i="20"/>
  <c r="I320" i="20"/>
  <c r="I738" i="20"/>
  <c r="I648" i="20"/>
  <c r="I357" i="20"/>
  <c r="I697" i="20"/>
  <c r="F461" i="20"/>
  <c r="D269" i="20"/>
  <c r="D271" i="20"/>
  <c r="D248" i="20"/>
  <c r="F654" i="20"/>
  <c r="F181" i="20"/>
  <c r="I507" i="20"/>
  <c r="J599" i="20"/>
  <c r="H603" i="20"/>
  <c r="D390" i="20"/>
  <c r="E388" i="20"/>
  <c r="E390" i="20"/>
  <c r="F388" i="20"/>
  <c r="F390" i="20"/>
  <c r="K501" i="20"/>
  <c r="K503" i="20"/>
  <c r="L498" i="20"/>
  <c r="M126" i="20"/>
  <c r="AB401" i="20"/>
  <c r="AB402" i="20"/>
  <c r="AB356" i="20"/>
  <c r="L628" i="20"/>
  <c r="O436" i="20"/>
  <c r="O139" i="20"/>
  <c r="C117" i="20"/>
  <c r="D408" i="20"/>
  <c r="K583" i="20"/>
  <c r="K585" i="20"/>
  <c r="K587" i="20"/>
  <c r="K572" i="20"/>
  <c r="K566" i="20"/>
  <c r="K350" i="20"/>
  <c r="K354" i="20"/>
  <c r="K465" i="20"/>
  <c r="K570" i="20"/>
  <c r="K158" i="20"/>
  <c r="K159" i="20"/>
  <c r="Z401" i="20"/>
  <c r="Z402" i="20"/>
  <c r="Z356" i="20"/>
  <c r="D303" i="20"/>
  <c r="D301" i="20"/>
  <c r="D204" i="20"/>
  <c r="N572" i="20"/>
  <c r="N566" i="20"/>
  <c r="N570" i="20"/>
  <c r="N583" i="20"/>
  <c r="N585" i="20"/>
  <c r="N587" i="20"/>
  <c r="N465" i="20"/>
  <c r="N350" i="20"/>
  <c r="N354" i="20"/>
  <c r="N159" i="20"/>
  <c r="G461" i="20"/>
  <c r="M125" i="20"/>
  <c r="AA449" i="20"/>
  <c r="N599" i="20"/>
  <c r="L603" i="20"/>
  <c r="AD507" i="20"/>
  <c r="F287" i="20"/>
  <c r="E200" i="20"/>
  <c r="H165" i="20"/>
  <c r="D182" i="20"/>
  <c r="S465" i="20"/>
  <c r="S570" i="20"/>
  <c r="S572" i="20"/>
  <c r="S583" i="20"/>
  <c r="S585" i="20"/>
  <c r="S587" i="20"/>
  <c r="S566" i="20"/>
  <c r="S350" i="20"/>
  <c r="S354" i="20"/>
  <c r="S157" i="20"/>
  <c r="S158" i="20"/>
  <c r="S159" i="20"/>
  <c r="Z507" i="20"/>
  <c r="M153" i="20"/>
  <c r="M154" i="20"/>
  <c r="I617" i="20"/>
  <c r="J614" i="20"/>
  <c r="K551" i="20"/>
  <c r="L545" i="20"/>
  <c r="W401" i="20"/>
  <c r="W402" i="20"/>
  <c r="W356" i="20"/>
  <c r="Y593" i="20"/>
  <c r="H531" i="20"/>
  <c r="G533" i="20"/>
  <c r="G535" i="20"/>
  <c r="AC419" i="20"/>
  <c r="AC422" i="20"/>
  <c r="L555" i="20"/>
  <c r="K559" i="20"/>
  <c r="D766" i="20"/>
  <c r="D745" i="20"/>
  <c r="AA507" i="20"/>
  <c r="F494" i="20"/>
  <c r="F507" i="20"/>
  <c r="D183" i="20"/>
  <c r="D273" i="20"/>
  <c r="D275" i="20"/>
  <c r="D257" i="20"/>
  <c r="I482" i="20"/>
  <c r="H484" i="20"/>
  <c r="H475" i="20"/>
  <c r="G477" i="20"/>
  <c r="G479" i="20"/>
  <c r="G492" i="20"/>
  <c r="O447" i="20"/>
  <c r="O449" i="20"/>
  <c r="O451" i="20"/>
  <c r="O135" i="20"/>
  <c r="O134" i="20"/>
  <c r="I434" i="20"/>
  <c r="I440" i="20"/>
  <c r="I453" i="20"/>
  <c r="Y401" i="20"/>
  <c r="Y402" i="20"/>
  <c r="Y356" i="20"/>
  <c r="H473" i="20"/>
  <c r="I471" i="20"/>
  <c r="L154" i="20"/>
  <c r="S451" i="20"/>
  <c r="M123" i="20"/>
  <c r="D710" i="20"/>
  <c r="H440" i="20"/>
  <c r="S599" i="20"/>
  <c r="Q603" i="20"/>
  <c r="AD356" i="20"/>
  <c r="AD401" i="20"/>
  <c r="AD402" i="20"/>
  <c r="R591" i="20"/>
  <c r="R570" i="20"/>
  <c r="R465" i="20"/>
  <c r="R566" i="20"/>
  <c r="R572" i="20"/>
  <c r="R583" i="20"/>
  <c r="R585" i="20"/>
  <c r="R587" i="20"/>
  <c r="R350" i="20"/>
  <c r="R354" i="20"/>
  <c r="R159" i="20"/>
  <c r="R157" i="20"/>
  <c r="R158" i="20"/>
  <c r="T445" i="20"/>
  <c r="N449" i="20"/>
  <c r="W507" i="20"/>
  <c r="AA593" i="20"/>
  <c r="Y507" i="20"/>
  <c r="J152" i="20"/>
  <c r="J154" i="20"/>
  <c r="D618" i="20"/>
  <c r="F585" i="20"/>
  <c r="L519" i="20"/>
  <c r="M517" i="20"/>
  <c r="F354" i="20"/>
  <c r="AB593" i="20"/>
  <c r="H373" i="20"/>
  <c r="G385" i="20"/>
  <c r="G377" i="20"/>
  <c r="I540" i="20"/>
  <c r="J483" i="20"/>
  <c r="H541" i="20"/>
  <c r="I539" i="20"/>
  <c r="T447" i="20"/>
  <c r="T449" i="20"/>
  <c r="T135" i="20"/>
  <c r="T134" i="20"/>
  <c r="T140" i="20"/>
  <c r="T139" i="20"/>
  <c r="T146" i="20"/>
  <c r="U153" i="20"/>
  <c r="U154" i="20"/>
  <c r="F212" i="20"/>
  <c r="E191" i="20"/>
  <c r="F168" i="20"/>
  <c r="F172" i="20"/>
  <c r="F183" i="20"/>
  <c r="F167" i="20"/>
  <c r="F171" i="20"/>
  <c r="F182" i="20"/>
  <c r="AA401" i="20"/>
  <c r="AA402" i="20"/>
  <c r="AA356" i="20"/>
  <c r="I469" i="20"/>
  <c r="W438" i="20"/>
  <c r="D226" i="20"/>
  <c r="D593" i="20"/>
  <c r="AB507" i="20"/>
  <c r="J527" i="20"/>
  <c r="I529" i="20"/>
  <c r="H570" i="20"/>
  <c r="H591" i="20"/>
  <c r="H572" i="20"/>
  <c r="H566" i="20"/>
  <c r="H583" i="20"/>
  <c r="H585" i="20"/>
  <c r="H587" i="20"/>
  <c r="H350" i="20"/>
  <c r="H354" i="20"/>
  <c r="H465" i="20"/>
  <c r="H159" i="20"/>
  <c r="H157" i="20"/>
  <c r="H158" i="20"/>
  <c r="I124" i="20"/>
  <c r="H523" i="20"/>
  <c r="H525" i="20"/>
  <c r="I521" i="20"/>
  <c r="E414" i="20"/>
  <c r="J629" i="20"/>
  <c r="J631" i="20"/>
  <c r="K611" i="20"/>
  <c r="J615" i="20"/>
  <c r="D422" i="20"/>
  <c r="E453" i="20"/>
  <c r="H177" i="20"/>
  <c r="E593" i="20"/>
  <c r="D13" i="9"/>
  <c r="M50" i="19"/>
  <c r="M49" i="19"/>
  <c r="M48" i="19"/>
  <c r="M47" i="19"/>
  <c r="M46" i="19"/>
  <c r="M45" i="19"/>
  <c r="M44" i="19"/>
  <c r="M43" i="19"/>
  <c r="M42" i="19"/>
  <c r="A18" i="19"/>
  <c r="A29" i="19"/>
  <c r="A321" i="14"/>
  <c r="G676" i="14"/>
  <c r="G677" i="14"/>
  <c r="A662" i="14"/>
  <c r="H117" i="14"/>
  <c r="H436" i="14"/>
  <c r="G144" i="14"/>
  <c r="H146" i="14"/>
  <c r="I146" i="14"/>
  <c r="G118" i="14"/>
  <c r="H118" i="14"/>
  <c r="E162" i="14"/>
  <c r="F162" i="14"/>
  <c r="G162" i="14"/>
  <c r="H162" i="14"/>
  <c r="I162" i="14"/>
  <c r="J162" i="14"/>
  <c r="K162" i="14"/>
  <c r="L162" i="14"/>
  <c r="M162" i="14"/>
  <c r="N162" i="14"/>
  <c r="O162" i="14"/>
  <c r="P162" i="14"/>
  <c r="Q162" i="14"/>
  <c r="R162" i="14"/>
  <c r="S162" i="14"/>
  <c r="T162" i="14"/>
  <c r="U162" i="14"/>
  <c r="V162" i="14"/>
  <c r="W162" i="14"/>
  <c r="X162" i="14"/>
  <c r="Y162" i="14"/>
  <c r="Z162" i="14"/>
  <c r="AA162" i="14"/>
  <c r="AB162" i="14"/>
  <c r="AC162" i="14"/>
  <c r="AD162" i="14"/>
  <c r="E165" i="14"/>
  <c r="F165" i="14"/>
  <c r="G165" i="14"/>
  <c r="H165" i="14"/>
  <c r="I165" i="14"/>
  <c r="J165" i="14"/>
  <c r="K165" i="14"/>
  <c r="L165" i="14"/>
  <c r="M165" i="14"/>
  <c r="N165" i="14"/>
  <c r="O165" i="14"/>
  <c r="P165" i="14"/>
  <c r="Q165" i="14"/>
  <c r="R165" i="14"/>
  <c r="S165" i="14"/>
  <c r="T165" i="14"/>
  <c r="U165" i="14"/>
  <c r="V165" i="14"/>
  <c r="W165" i="14"/>
  <c r="X165" i="14"/>
  <c r="Y165" i="14"/>
  <c r="Z165" i="14"/>
  <c r="AA165" i="14"/>
  <c r="AB165" i="14"/>
  <c r="AC165" i="14"/>
  <c r="AD165" i="14"/>
  <c r="G119" i="14"/>
  <c r="H119" i="14"/>
  <c r="E163" i="14"/>
  <c r="F163" i="14"/>
  <c r="G163" i="14"/>
  <c r="H163" i="14"/>
  <c r="I163" i="14"/>
  <c r="J163" i="14"/>
  <c r="K163" i="14"/>
  <c r="L163" i="14"/>
  <c r="M163" i="14"/>
  <c r="N163" i="14"/>
  <c r="O163" i="14"/>
  <c r="P163" i="14"/>
  <c r="Q163" i="14"/>
  <c r="R163" i="14"/>
  <c r="S163" i="14"/>
  <c r="T163" i="14"/>
  <c r="U163" i="14"/>
  <c r="V163" i="14"/>
  <c r="W163" i="14"/>
  <c r="X163" i="14"/>
  <c r="Y163" i="14"/>
  <c r="Z163" i="14"/>
  <c r="AA163" i="14"/>
  <c r="AB163" i="14"/>
  <c r="AC163" i="14"/>
  <c r="AD163" i="14"/>
  <c r="E270" i="14"/>
  <c r="G146" i="14"/>
  <c r="E190" i="14"/>
  <c r="F190" i="14"/>
  <c r="G190" i="14"/>
  <c r="H190" i="14"/>
  <c r="I190" i="14"/>
  <c r="J190" i="14"/>
  <c r="K190" i="14"/>
  <c r="L190" i="14"/>
  <c r="M190" i="14"/>
  <c r="N190" i="14"/>
  <c r="O190" i="14"/>
  <c r="P190" i="14"/>
  <c r="Q190" i="14"/>
  <c r="R190" i="14"/>
  <c r="S190" i="14"/>
  <c r="T190" i="14"/>
  <c r="U190" i="14"/>
  <c r="V190" i="14"/>
  <c r="W190" i="14"/>
  <c r="X190" i="14"/>
  <c r="Y190" i="14"/>
  <c r="Z190" i="14"/>
  <c r="AA190" i="14"/>
  <c r="AB190" i="14"/>
  <c r="AC190" i="14"/>
  <c r="AD190" i="14"/>
  <c r="J146" i="14"/>
  <c r="G120" i="14"/>
  <c r="H120" i="14"/>
  <c r="E164" i="14"/>
  <c r="F164" i="14"/>
  <c r="G164" i="14"/>
  <c r="H164" i="14"/>
  <c r="I164" i="14"/>
  <c r="J164" i="14"/>
  <c r="K164" i="14"/>
  <c r="L164" i="14"/>
  <c r="M164" i="14"/>
  <c r="N164" i="14"/>
  <c r="O164" i="14"/>
  <c r="P164" i="14"/>
  <c r="Q164" i="14"/>
  <c r="R164" i="14"/>
  <c r="S164" i="14"/>
  <c r="T164" i="14"/>
  <c r="U164" i="14"/>
  <c r="V164" i="14"/>
  <c r="W164" i="14"/>
  <c r="X164" i="14"/>
  <c r="Y164" i="14"/>
  <c r="Z164" i="14"/>
  <c r="AA164" i="14"/>
  <c r="AB164" i="14"/>
  <c r="AC164" i="14"/>
  <c r="AD164" i="14"/>
  <c r="E256" i="14"/>
  <c r="E274" i="14"/>
  <c r="G121" i="14"/>
  <c r="H121" i="14"/>
  <c r="I121" i="14"/>
  <c r="J121" i="14"/>
  <c r="K121" i="14"/>
  <c r="L121" i="14"/>
  <c r="M121" i="14"/>
  <c r="N121" i="14"/>
  <c r="O121" i="14"/>
  <c r="P121" i="14"/>
  <c r="E176" i="14"/>
  <c r="F176" i="14"/>
  <c r="G176" i="14"/>
  <c r="H176" i="14"/>
  <c r="I176" i="14"/>
  <c r="J176" i="14"/>
  <c r="K176" i="14"/>
  <c r="L176" i="14"/>
  <c r="M176" i="14"/>
  <c r="N176" i="14"/>
  <c r="O176" i="14"/>
  <c r="P176" i="14"/>
  <c r="Q176" i="14"/>
  <c r="R176" i="14"/>
  <c r="S176" i="14"/>
  <c r="T176" i="14"/>
  <c r="U176" i="14"/>
  <c r="V176" i="14"/>
  <c r="W176" i="14"/>
  <c r="X176" i="14"/>
  <c r="Y176" i="14"/>
  <c r="Z176" i="14"/>
  <c r="AA176" i="14"/>
  <c r="AB176" i="14"/>
  <c r="AC176" i="14"/>
  <c r="AD176" i="14"/>
  <c r="E177" i="14"/>
  <c r="F177" i="14"/>
  <c r="G177" i="14"/>
  <c r="H177" i="14"/>
  <c r="I177" i="14"/>
  <c r="J177" i="14"/>
  <c r="K177" i="14"/>
  <c r="L177" i="14"/>
  <c r="M177" i="14"/>
  <c r="N177" i="14"/>
  <c r="O177" i="14"/>
  <c r="P177" i="14"/>
  <c r="Q177" i="14"/>
  <c r="R177" i="14"/>
  <c r="S177" i="14"/>
  <c r="T177" i="14"/>
  <c r="U177" i="14"/>
  <c r="V177" i="14"/>
  <c r="W177" i="14"/>
  <c r="X177" i="14"/>
  <c r="Y177" i="14"/>
  <c r="Z177" i="14"/>
  <c r="AA177" i="14"/>
  <c r="AB177" i="14"/>
  <c r="AC177" i="14"/>
  <c r="AD177" i="14"/>
  <c r="E199" i="14"/>
  <c r="F199" i="14"/>
  <c r="G199" i="14"/>
  <c r="H199" i="14"/>
  <c r="I199" i="14"/>
  <c r="J199" i="14"/>
  <c r="K199" i="14"/>
  <c r="L199" i="14"/>
  <c r="M199" i="14"/>
  <c r="N199" i="14"/>
  <c r="O199" i="14"/>
  <c r="P199" i="14"/>
  <c r="Q199" i="14"/>
  <c r="R199" i="14"/>
  <c r="S199" i="14"/>
  <c r="T199" i="14"/>
  <c r="U199" i="14"/>
  <c r="V199" i="14"/>
  <c r="W199" i="14"/>
  <c r="X199" i="14"/>
  <c r="Y199" i="14"/>
  <c r="Z199" i="14"/>
  <c r="AA199" i="14"/>
  <c r="AB199" i="14"/>
  <c r="AC199" i="14"/>
  <c r="AD199" i="14"/>
  <c r="I291" i="14"/>
  <c r="A652" i="14"/>
  <c r="B652" i="14"/>
  <c r="D234" i="14"/>
  <c r="D233" i="14"/>
  <c r="D156" i="14"/>
  <c r="D166" i="14"/>
  <c r="D247" i="14"/>
  <c r="D270" i="14"/>
  <c r="E156" i="14"/>
  <c r="D253" i="14"/>
  <c r="D254" i="14"/>
  <c r="D256" i="14"/>
  <c r="D274" i="14"/>
  <c r="D289" i="14"/>
  <c r="D159" i="14"/>
  <c r="D178" i="14"/>
  <c r="D287" i="14"/>
  <c r="D291" i="14"/>
  <c r="E159" i="14"/>
  <c r="E145" i="14"/>
  <c r="F145" i="14"/>
  <c r="E146" i="14"/>
  <c r="F146" i="14"/>
  <c r="M117" i="14"/>
  <c r="N117" i="14"/>
  <c r="M130" i="14"/>
  <c r="M447" i="14"/>
  <c r="L131" i="14"/>
  <c r="M131" i="14"/>
  <c r="N131" i="14"/>
  <c r="O131" i="14"/>
  <c r="P131" i="14"/>
  <c r="Q131" i="14"/>
  <c r="L132" i="14"/>
  <c r="M132" i="14"/>
  <c r="N132" i="14"/>
  <c r="O132" i="14"/>
  <c r="P132" i="14"/>
  <c r="Q132" i="14"/>
  <c r="Q145" i="14"/>
  <c r="R130" i="14"/>
  <c r="R447" i="14"/>
  <c r="R145" i="14"/>
  <c r="S145" i="14"/>
  <c r="T145" i="14"/>
  <c r="U146" i="14"/>
  <c r="U145" i="14"/>
  <c r="V145" i="14"/>
  <c r="V146" i="14"/>
  <c r="W145" i="14"/>
  <c r="W146" i="14"/>
  <c r="X145" i="14"/>
  <c r="X146" i="14"/>
  <c r="Y145" i="14"/>
  <c r="Y146" i="14"/>
  <c r="Z145" i="14"/>
  <c r="Z146" i="14"/>
  <c r="AA145" i="14"/>
  <c r="AA146" i="14"/>
  <c r="AB145" i="14"/>
  <c r="AB146" i="14"/>
  <c r="AC145" i="14"/>
  <c r="AC146" i="14"/>
  <c r="AD145" i="14"/>
  <c r="AD146" i="14"/>
  <c r="AD191" i="14"/>
  <c r="AD200" i="14"/>
  <c r="E630" i="14"/>
  <c r="F630" i="14"/>
  <c r="G630" i="14"/>
  <c r="H630" i="14"/>
  <c r="I630" i="14"/>
  <c r="J630" i="14"/>
  <c r="K630" i="14"/>
  <c r="L630" i="14"/>
  <c r="M630" i="14"/>
  <c r="N630" i="14"/>
  <c r="O630" i="14"/>
  <c r="P630" i="14"/>
  <c r="Q630" i="14"/>
  <c r="R630" i="14"/>
  <c r="S630" i="14"/>
  <c r="T630" i="14"/>
  <c r="U630" i="14"/>
  <c r="V630" i="14"/>
  <c r="W630" i="14"/>
  <c r="X630" i="14"/>
  <c r="Y630" i="14"/>
  <c r="Z630" i="14"/>
  <c r="AA630" i="14"/>
  <c r="AB630" i="14"/>
  <c r="AC630" i="14"/>
  <c r="AD630" i="14"/>
  <c r="E635" i="14"/>
  <c r="F635" i="14"/>
  <c r="G635" i="14"/>
  <c r="H635" i="14"/>
  <c r="I635" i="14"/>
  <c r="J635" i="14"/>
  <c r="K635" i="14"/>
  <c r="L635" i="14"/>
  <c r="M635" i="14"/>
  <c r="N635" i="14"/>
  <c r="O635" i="14"/>
  <c r="P635" i="14"/>
  <c r="Q635" i="14"/>
  <c r="R635" i="14"/>
  <c r="S635" i="14"/>
  <c r="T635" i="14"/>
  <c r="U635" i="14"/>
  <c r="V635" i="14"/>
  <c r="W635" i="14"/>
  <c r="X635" i="14"/>
  <c r="Y635" i="14"/>
  <c r="Z635" i="14"/>
  <c r="AA635" i="14"/>
  <c r="AB635" i="14"/>
  <c r="AC635" i="14"/>
  <c r="AD635" i="14"/>
  <c r="D382" i="14"/>
  <c r="D383" i="14"/>
  <c r="D399" i="14"/>
  <c r="D400" i="14"/>
  <c r="D350" i="14"/>
  <c r="D354" i="14"/>
  <c r="D396" i="14"/>
  <c r="D397" i="14"/>
  <c r="D398" i="14"/>
  <c r="D376" i="14"/>
  <c r="D421" i="14"/>
  <c r="E382" i="14"/>
  <c r="E383" i="14"/>
  <c r="E399" i="14"/>
  <c r="E400" i="14"/>
  <c r="E350" i="14"/>
  <c r="E354" i="14"/>
  <c r="E401" i="14"/>
  <c r="E396" i="14"/>
  <c r="E397" i="14"/>
  <c r="E398" i="14"/>
  <c r="E376" i="14"/>
  <c r="F382" i="14"/>
  <c r="F383" i="14"/>
  <c r="F399" i="14"/>
  <c r="F400" i="14"/>
  <c r="D346" i="14"/>
  <c r="E346" i="14"/>
  <c r="F346" i="14"/>
  <c r="G346" i="14"/>
  <c r="H346" i="14"/>
  <c r="I346" i="14"/>
  <c r="J346" i="14"/>
  <c r="K346" i="14"/>
  <c r="L346" i="14"/>
  <c r="M346" i="14"/>
  <c r="N346" i="14"/>
  <c r="O346" i="14"/>
  <c r="P346" i="14"/>
  <c r="Q346" i="14"/>
  <c r="R346" i="14"/>
  <c r="S346" i="14"/>
  <c r="T346" i="14"/>
  <c r="U346" i="14"/>
  <c r="V346" i="14"/>
  <c r="W346" i="14"/>
  <c r="X346" i="14"/>
  <c r="Y346" i="14"/>
  <c r="Z346" i="14"/>
  <c r="AA346" i="14"/>
  <c r="AB346" i="14"/>
  <c r="AC346" i="14"/>
  <c r="AD346" i="14"/>
  <c r="E349" i="14"/>
  <c r="F349" i="14"/>
  <c r="F396" i="14"/>
  <c r="F397" i="14"/>
  <c r="F398" i="14"/>
  <c r="F376" i="14"/>
  <c r="G382" i="14"/>
  <c r="G383" i="14"/>
  <c r="G399" i="14"/>
  <c r="G400" i="14"/>
  <c r="G396" i="14"/>
  <c r="G397" i="14"/>
  <c r="G398" i="14"/>
  <c r="G376" i="14"/>
  <c r="H382" i="14"/>
  <c r="H383" i="14"/>
  <c r="H399" i="14"/>
  <c r="H400" i="14"/>
  <c r="H396" i="14"/>
  <c r="H397" i="14"/>
  <c r="H398" i="14"/>
  <c r="H376" i="14"/>
  <c r="I382" i="14"/>
  <c r="I383" i="14"/>
  <c r="I399" i="14"/>
  <c r="I400" i="14"/>
  <c r="I396" i="14"/>
  <c r="I397" i="14"/>
  <c r="I398" i="14"/>
  <c r="I376" i="14"/>
  <c r="J382" i="14"/>
  <c r="J383" i="14"/>
  <c r="J399" i="14"/>
  <c r="J400" i="14"/>
  <c r="J396" i="14"/>
  <c r="J397" i="14"/>
  <c r="J398" i="14"/>
  <c r="J376" i="14"/>
  <c r="K382" i="14"/>
  <c r="K383" i="14"/>
  <c r="K399" i="14"/>
  <c r="K400" i="14"/>
  <c r="K396" i="14"/>
  <c r="K397" i="14"/>
  <c r="K398" i="14"/>
  <c r="K376" i="14"/>
  <c r="L382" i="14"/>
  <c r="L383" i="14"/>
  <c r="L399" i="14"/>
  <c r="L400" i="14"/>
  <c r="L396" i="14"/>
  <c r="L397" i="14"/>
  <c r="L398" i="14"/>
  <c r="L376" i="14"/>
  <c r="M382" i="14"/>
  <c r="M383" i="14"/>
  <c r="M399" i="14"/>
  <c r="M400" i="14"/>
  <c r="M396" i="14"/>
  <c r="M397" i="14"/>
  <c r="M398" i="14"/>
  <c r="M376" i="14"/>
  <c r="N382" i="14"/>
  <c r="N383" i="14"/>
  <c r="N399" i="14"/>
  <c r="N400" i="14"/>
  <c r="N396" i="14"/>
  <c r="N397" i="14"/>
  <c r="N398" i="14"/>
  <c r="N376" i="14"/>
  <c r="O382" i="14"/>
  <c r="O383" i="14"/>
  <c r="O399" i="14"/>
  <c r="O400" i="14"/>
  <c r="O396" i="14"/>
  <c r="O397" i="14"/>
  <c r="O398" i="14"/>
  <c r="O376" i="14"/>
  <c r="P382" i="14"/>
  <c r="P383" i="14"/>
  <c r="P399" i="14"/>
  <c r="P400" i="14"/>
  <c r="P396" i="14"/>
  <c r="P397" i="14"/>
  <c r="P398" i="14"/>
  <c r="P376" i="14"/>
  <c r="Q382" i="14"/>
  <c r="Q383" i="14"/>
  <c r="Q399" i="14"/>
  <c r="Q400" i="14"/>
  <c r="Q396" i="14"/>
  <c r="Q397" i="14"/>
  <c r="Q398" i="14"/>
  <c r="Q376" i="14"/>
  <c r="R382" i="14"/>
  <c r="R383" i="14"/>
  <c r="R399" i="14"/>
  <c r="R400" i="14"/>
  <c r="R396" i="14"/>
  <c r="R397" i="14"/>
  <c r="R398" i="14"/>
  <c r="R376" i="14"/>
  <c r="S382" i="14"/>
  <c r="S383" i="14"/>
  <c r="S399" i="14"/>
  <c r="S400" i="14"/>
  <c r="S396" i="14"/>
  <c r="S397" i="14"/>
  <c r="S398" i="14"/>
  <c r="S376" i="14"/>
  <c r="T382" i="14"/>
  <c r="T383" i="14"/>
  <c r="T399" i="14"/>
  <c r="T400" i="14"/>
  <c r="T396" i="14"/>
  <c r="T397" i="14"/>
  <c r="T398" i="14"/>
  <c r="T376" i="14"/>
  <c r="U382" i="14"/>
  <c r="U383" i="14"/>
  <c r="U399" i="14"/>
  <c r="U400" i="14"/>
  <c r="U396" i="14"/>
  <c r="U397" i="14"/>
  <c r="U398" i="14"/>
  <c r="U376" i="14"/>
  <c r="V382" i="14"/>
  <c r="V383" i="14"/>
  <c r="V399" i="14"/>
  <c r="V400" i="14"/>
  <c r="V396" i="14"/>
  <c r="V397" i="14"/>
  <c r="V398" i="14"/>
  <c r="V376" i="14"/>
  <c r="W382" i="14"/>
  <c r="W383" i="14"/>
  <c r="W399" i="14"/>
  <c r="W400" i="14"/>
  <c r="W396" i="14"/>
  <c r="W397" i="14"/>
  <c r="W398" i="14"/>
  <c r="W376" i="14"/>
  <c r="X382" i="14"/>
  <c r="X383" i="14"/>
  <c r="X399" i="14"/>
  <c r="X400" i="14"/>
  <c r="X396" i="14"/>
  <c r="X397" i="14"/>
  <c r="X398" i="14"/>
  <c r="X376" i="14"/>
  <c r="Y382" i="14"/>
  <c r="Y383" i="14"/>
  <c r="Y399" i="14"/>
  <c r="Y400" i="14"/>
  <c r="Y396" i="14"/>
  <c r="Y397" i="14"/>
  <c r="Y398" i="14"/>
  <c r="Y376" i="14"/>
  <c r="Z382" i="14"/>
  <c r="Z383" i="14"/>
  <c r="Z399" i="14"/>
  <c r="Z400" i="14"/>
  <c r="Z396" i="14"/>
  <c r="Z397" i="14"/>
  <c r="Z398" i="14"/>
  <c r="Z376" i="14"/>
  <c r="AA382" i="14"/>
  <c r="AA383" i="14"/>
  <c r="AA399" i="14"/>
  <c r="AA400" i="14"/>
  <c r="AA396" i="14"/>
  <c r="AA397" i="14"/>
  <c r="AA398" i="14"/>
  <c r="AA376" i="14"/>
  <c r="AB382" i="14"/>
  <c r="AB383" i="14"/>
  <c r="AB399" i="14"/>
  <c r="AB400" i="14"/>
  <c r="AB396" i="14"/>
  <c r="AB397" i="14"/>
  <c r="AB398" i="14"/>
  <c r="AB376" i="14"/>
  <c r="AC382" i="14"/>
  <c r="AC383" i="14"/>
  <c r="AC399" i="14"/>
  <c r="AC400" i="14"/>
  <c r="AC396" i="14"/>
  <c r="AC397" i="14"/>
  <c r="AC398" i="14"/>
  <c r="AC376" i="14"/>
  <c r="AD382" i="14"/>
  <c r="AD383" i="14"/>
  <c r="AD399" i="14"/>
  <c r="AD400" i="14"/>
  <c r="AD396" i="14"/>
  <c r="AD397" i="14"/>
  <c r="AD398" i="14"/>
  <c r="AD376" i="14"/>
  <c r="D391" i="14"/>
  <c r="D392" i="14"/>
  <c r="D410" i="14"/>
  <c r="D373" i="14"/>
  <c r="E391" i="14"/>
  <c r="E410" i="14"/>
  <c r="E372" i="14"/>
  <c r="F372" i="14"/>
  <c r="G372" i="14"/>
  <c r="H372" i="14"/>
  <c r="I372" i="14"/>
  <c r="J372" i="14"/>
  <c r="K372" i="14"/>
  <c r="L372" i="14"/>
  <c r="M372" i="14"/>
  <c r="N372" i="14"/>
  <c r="O372" i="14"/>
  <c r="P372" i="14"/>
  <c r="Q372" i="14"/>
  <c r="R372" i="14"/>
  <c r="S372" i="14"/>
  <c r="T372" i="14"/>
  <c r="U372" i="14"/>
  <c r="V372" i="14"/>
  <c r="W372" i="14"/>
  <c r="X372" i="14"/>
  <c r="Y372" i="14"/>
  <c r="Z372" i="14"/>
  <c r="AA372" i="14"/>
  <c r="AB372" i="14"/>
  <c r="AC372" i="14"/>
  <c r="AD372" i="14"/>
  <c r="C386" i="14"/>
  <c r="C405" i="14"/>
  <c r="A402" i="14"/>
  <c r="A404" i="14"/>
  <c r="A408" i="14"/>
  <c r="B401" i="14"/>
  <c r="A401" i="14"/>
  <c r="B400" i="14"/>
  <c r="A400" i="14"/>
  <c r="C421" i="14"/>
  <c r="B408" i="14"/>
  <c r="B399" i="14"/>
  <c r="A399" i="14"/>
  <c r="B398" i="14"/>
  <c r="A398" i="14"/>
  <c r="B397" i="14"/>
  <c r="A397" i="14"/>
  <c r="B396" i="14"/>
  <c r="A396" i="14"/>
  <c r="B389" i="14"/>
  <c r="A385" i="14"/>
  <c r="A389" i="14"/>
  <c r="B383" i="14"/>
  <c r="A383" i="14"/>
  <c r="B382" i="14"/>
  <c r="A382" i="14"/>
  <c r="B378" i="14"/>
  <c r="A376" i="14"/>
  <c r="A377" i="14"/>
  <c r="B376" i="14"/>
  <c r="C339" i="14"/>
  <c r="D215" i="14"/>
  <c r="D217" i="14"/>
  <c r="D216" i="14"/>
  <c r="D227" i="14"/>
  <c r="D266" i="14"/>
  <c r="E44" i="9"/>
  <c r="E46" i="9"/>
  <c r="E45" i="9"/>
  <c r="E54" i="9"/>
  <c r="E53" i="9"/>
  <c r="E67" i="9"/>
  <c r="E68" i="9"/>
  <c r="E71" i="9"/>
  <c r="D320" i="14"/>
  <c r="D615" i="14"/>
  <c r="D617" i="14"/>
  <c r="D668" i="14"/>
  <c r="D670" i="14"/>
  <c r="D669" i="14"/>
  <c r="D676" i="14"/>
  <c r="D677" i="14"/>
  <c r="D683" i="14"/>
  <c r="D688" i="14"/>
  <c r="D693" i="14"/>
  <c r="D727" i="14"/>
  <c r="D440" i="14"/>
  <c r="D451" i="14"/>
  <c r="D465" i="14"/>
  <c r="D507" i="14"/>
  <c r="D473" i="14"/>
  <c r="D477" i="14"/>
  <c r="D484" i="14"/>
  <c r="D574" i="14"/>
  <c r="D138" i="14"/>
  <c r="D579" i="14"/>
  <c r="D583" i="14"/>
  <c r="D585" i="14"/>
  <c r="D591" i="14"/>
  <c r="F139" i="14"/>
  <c r="F599" i="14"/>
  <c r="D603" i="14"/>
  <c r="D629" i="14"/>
  <c r="D631" i="14"/>
  <c r="D726" i="14"/>
  <c r="D732" i="14"/>
  <c r="D738" i="14"/>
  <c r="D357" i="14"/>
  <c r="D648" i="14"/>
  <c r="D102" i="9"/>
  <c r="E49" i="9"/>
  <c r="F227" i="14"/>
  <c r="E56" i="9"/>
  <c r="E58" i="9"/>
  <c r="E57" i="9"/>
  <c r="E309" i="14"/>
  <c r="F309" i="14"/>
  <c r="G309" i="14"/>
  <c r="H309" i="14"/>
  <c r="I309" i="14"/>
  <c r="J309" i="14"/>
  <c r="K309" i="14"/>
  <c r="L309" i="14"/>
  <c r="M309" i="14"/>
  <c r="N309" i="14"/>
  <c r="O309" i="14"/>
  <c r="P309" i="14"/>
  <c r="Q309" i="14"/>
  <c r="R309" i="14"/>
  <c r="S309" i="14"/>
  <c r="T309" i="14"/>
  <c r="U309" i="14"/>
  <c r="V309" i="14"/>
  <c r="W309" i="14"/>
  <c r="X309" i="14"/>
  <c r="Y309" i="14"/>
  <c r="Z309" i="14"/>
  <c r="AA309" i="14"/>
  <c r="AB309" i="14"/>
  <c r="AC309" i="14"/>
  <c r="AD309" i="14"/>
  <c r="E614" i="14"/>
  <c r="F614" i="14"/>
  <c r="G614" i="14"/>
  <c r="E611" i="14"/>
  <c r="E615" i="14"/>
  <c r="E616" i="14"/>
  <c r="F616" i="14"/>
  <c r="G616" i="14"/>
  <c r="H616" i="14"/>
  <c r="I616" i="14"/>
  <c r="J616" i="14"/>
  <c r="K616" i="14"/>
  <c r="L616" i="14"/>
  <c r="M616" i="14"/>
  <c r="N616" i="14"/>
  <c r="O616" i="14"/>
  <c r="P616" i="14"/>
  <c r="Q616" i="14"/>
  <c r="R616" i="14"/>
  <c r="S616" i="14"/>
  <c r="T616" i="14"/>
  <c r="U616" i="14"/>
  <c r="V616" i="14"/>
  <c r="W616" i="14"/>
  <c r="X616" i="14"/>
  <c r="Y616" i="14"/>
  <c r="Z616" i="14"/>
  <c r="AA616" i="14"/>
  <c r="AB616" i="14"/>
  <c r="AC616" i="14"/>
  <c r="AD616" i="14"/>
  <c r="E194" i="14"/>
  <c r="F194" i="14"/>
  <c r="G194" i="14"/>
  <c r="H194" i="14"/>
  <c r="I194" i="14"/>
  <c r="J194" i="14"/>
  <c r="K194" i="14"/>
  <c r="L194" i="14"/>
  <c r="M194" i="14"/>
  <c r="N194" i="14"/>
  <c r="O194" i="14"/>
  <c r="P194" i="14"/>
  <c r="Q194" i="14"/>
  <c r="R194" i="14"/>
  <c r="S194" i="14"/>
  <c r="T194" i="14"/>
  <c r="U194" i="14"/>
  <c r="V194" i="14"/>
  <c r="W194" i="14"/>
  <c r="X194" i="14"/>
  <c r="Y194" i="14"/>
  <c r="Z194" i="14"/>
  <c r="AA194" i="14"/>
  <c r="AB194" i="14"/>
  <c r="AC194" i="14"/>
  <c r="AD194" i="14"/>
  <c r="E621" i="14"/>
  <c r="F621" i="14"/>
  <c r="G621" i="14"/>
  <c r="H621" i="14"/>
  <c r="I621" i="14"/>
  <c r="J621" i="14"/>
  <c r="K621" i="14"/>
  <c r="L621" i="14"/>
  <c r="M621" i="14"/>
  <c r="N621" i="14"/>
  <c r="O621" i="14"/>
  <c r="P621" i="14"/>
  <c r="Q621" i="14"/>
  <c r="R621" i="14"/>
  <c r="S621" i="14"/>
  <c r="T621" i="14"/>
  <c r="U621" i="14"/>
  <c r="V621" i="14"/>
  <c r="W621" i="14"/>
  <c r="X621" i="14"/>
  <c r="Y621" i="14"/>
  <c r="Z621" i="14"/>
  <c r="AA621" i="14"/>
  <c r="AB621" i="14"/>
  <c r="AC621" i="14"/>
  <c r="AD621" i="14"/>
  <c r="E77" i="9"/>
  <c r="E79" i="9"/>
  <c r="E78" i="9"/>
  <c r="E87" i="9"/>
  <c r="E90" i="9"/>
  <c r="E93" i="9"/>
  <c r="E97" i="9"/>
  <c r="E432" i="14"/>
  <c r="E434" i="14"/>
  <c r="E436" i="14"/>
  <c r="E438" i="14"/>
  <c r="E443" i="14"/>
  <c r="E445" i="14"/>
  <c r="E447" i="14"/>
  <c r="E449" i="14"/>
  <c r="E457" i="14"/>
  <c r="F457" i="14"/>
  <c r="G457" i="14"/>
  <c r="H457" i="14"/>
  <c r="I457" i="14"/>
  <c r="J457" i="14"/>
  <c r="K457" i="14"/>
  <c r="L457" i="14"/>
  <c r="M457" i="14"/>
  <c r="N457" i="14"/>
  <c r="O457" i="14"/>
  <c r="P457" i="14"/>
  <c r="Q457" i="14"/>
  <c r="R457" i="14"/>
  <c r="S457" i="14"/>
  <c r="T457" i="14"/>
  <c r="U457" i="14"/>
  <c r="V457" i="14"/>
  <c r="W457" i="14"/>
  <c r="X457" i="14"/>
  <c r="Y457" i="14"/>
  <c r="Z457" i="14"/>
  <c r="AA457" i="14"/>
  <c r="AB457" i="14"/>
  <c r="AC457" i="14"/>
  <c r="AD457" i="14"/>
  <c r="E465" i="14"/>
  <c r="E507" i="14"/>
  <c r="E469" i="14"/>
  <c r="F469" i="14"/>
  <c r="G469" i="14"/>
  <c r="H469" i="14"/>
  <c r="I469" i="14"/>
  <c r="J469" i="14"/>
  <c r="K469" i="14"/>
  <c r="L469" i="14"/>
  <c r="M469" i="14"/>
  <c r="N469" i="14"/>
  <c r="O469" i="14"/>
  <c r="P469" i="14"/>
  <c r="Q469" i="14"/>
  <c r="E471" i="14"/>
  <c r="F471" i="14"/>
  <c r="G471" i="14"/>
  <c r="H471" i="14"/>
  <c r="I471" i="14"/>
  <c r="E472" i="14"/>
  <c r="E475" i="14"/>
  <c r="F475" i="14"/>
  <c r="G475" i="14"/>
  <c r="E476" i="14"/>
  <c r="E482" i="14"/>
  <c r="F482" i="14"/>
  <c r="E483" i="14"/>
  <c r="E540" i="14"/>
  <c r="E487" i="14"/>
  <c r="F487" i="14"/>
  <c r="G487" i="14"/>
  <c r="H487" i="14"/>
  <c r="I487" i="14"/>
  <c r="J487" i="14"/>
  <c r="K487" i="14"/>
  <c r="L487" i="14"/>
  <c r="M487" i="14"/>
  <c r="N487" i="14"/>
  <c r="O487" i="14"/>
  <c r="P487" i="14"/>
  <c r="Q487" i="14"/>
  <c r="R487" i="14"/>
  <c r="S487" i="14"/>
  <c r="T487" i="14"/>
  <c r="U487" i="14"/>
  <c r="V487" i="14"/>
  <c r="W487" i="14"/>
  <c r="X487" i="14"/>
  <c r="Y487" i="14"/>
  <c r="Z487" i="14"/>
  <c r="AA487" i="14"/>
  <c r="AB487" i="14"/>
  <c r="AC487" i="14"/>
  <c r="AD487" i="14"/>
  <c r="E490" i="14"/>
  <c r="F490" i="14"/>
  <c r="G490" i="14"/>
  <c r="H490" i="14"/>
  <c r="I490" i="14"/>
  <c r="J490" i="14"/>
  <c r="K490" i="14"/>
  <c r="L490" i="14"/>
  <c r="M490" i="14"/>
  <c r="N490" i="14"/>
  <c r="O490" i="14"/>
  <c r="P490" i="14"/>
  <c r="Q490" i="14"/>
  <c r="R490" i="14"/>
  <c r="S490" i="14"/>
  <c r="T490" i="14"/>
  <c r="U490" i="14"/>
  <c r="V490" i="14"/>
  <c r="W490" i="14"/>
  <c r="X490" i="14"/>
  <c r="Y490" i="14"/>
  <c r="Z490" i="14"/>
  <c r="AA490" i="14"/>
  <c r="AB490" i="14"/>
  <c r="AC490" i="14"/>
  <c r="AD490" i="14"/>
  <c r="E574" i="14"/>
  <c r="E138" i="14"/>
  <c r="E579" i="14"/>
  <c r="E580" i="14"/>
  <c r="F580" i="14"/>
  <c r="G580" i="14"/>
  <c r="H580" i="14"/>
  <c r="E583" i="14"/>
  <c r="E584" i="14"/>
  <c r="F584" i="14"/>
  <c r="G139" i="14"/>
  <c r="G599" i="14"/>
  <c r="E600" i="14"/>
  <c r="F600" i="14"/>
  <c r="G600" i="14"/>
  <c r="H600" i="14"/>
  <c r="I600" i="14"/>
  <c r="J600" i="14"/>
  <c r="K600" i="14"/>
  <c r="L600" i="14"/>
  <c r="M600" i="14"/>
  <c r="N600" i="14"/>
  <c r="O600" i="14"/>
  <c r="P600" i="14"/>
  <c r="Q600" i="14"/>
  <c r="R600" i="14"/>
  <c r="S600" i="14"/>
  <c r="T600" i="14"/>
  <c r="U600" i="14"/>
  <c r="V600" i="14"/>
  <c r="W600" i="14"/>
  <c r="X600" i="14"/>
  <c r="Y600" i="14"/>
  <c r="Z600" i="14"/>
  <c r="AA600" i="14"/>
  <c r="AB600" i="14"/>
  <c r="AC600" i="14"/>
  <c r="AD600" i="14"/>
  <c r="E602" i="14"/>
  <c r="F602" i="14"/>
  <c r="E628" i="14"/>
  <c r="E203" i="14"/>
  <c r="F203" i="14"/>
  <c r="G203" i="14"/>
  <c r="H203" i="14"/>
  <c r="I203" i="14"/>
  <c r="J203" i="14"/>
  <c r="K203" i="14"/>
  <c r="L203" i="14"/>
  <c r="M203" i="14"/>
  <c r="N203" i="14"/>
  <c r="O203" i="14"/>
  <c r="P203" i="14"/>
  <c r="Q203" i="14"/>
  <c r="R203" i="14"/>
  <c r="S203" i="14"/>
  <c r="T203" i="14"/>
  <c r="U203" i="14"/>
  <c r="V203" i="14"/>
  <c r="W203" i="14"/>
  <c r="X203" i="14"/>
  <c r="Y203" i="14"/>
  <c r="Z203" i="14"/>
  <c r="AA203" i="14"/>
  <c r="AB203" i="14"/>
  <c r="AC203" i="14"/>
  <c r="AD203" i="14"/>
  <c r="E96" i="9"/>
  <c r="E98" i="9"/>
  <c r="E101" i="9"/>
  <c r="G227" i="14"/>
  <c r="F138" i="14"/>
  <c r="F579" i="14"/>
  <c r="F432" i="14"/>
  <c r="F433" i="14"/>
  <c r="G433" i="14"/>
  <c r="H433" i="14"/>
  <c r="I433" i="14"/>
  <c r="F436" i="14"/>
  <c r="F438" i="14"/>
  <c r="F443" i="14"/>
  <c r="F445" i="14"/>
  <c r="F447" i="14"/>
  <c r="F449" i="14"/>
  <c r="E498" i="14"/>
  <c r="F498" i="14"/>
  <c r="E499" i="14"/>
  <c r="F499" i="14"/>
  <c r="G499" i="14"/>
  <c r="H499" i="14"/>
  <c r="I499" i="14"/>
  <c r="J499" i="14"/>
  <c r="K499" i="14"/>
  <c r="L499" i="14"/>
  <c r="M499" i="14"/>
  <c r="N499" i="14"/>
  <c r="O499" i="14"/>
  <c r="P499" i="14"/>
  <c r="Q499" i="14"/>
  <c r="R499" i="14"/>
  <c r="S499" i="14"/>
  <c r="T499" i="14"/>
  <c r="U499" i="14"/>
  <c r="V499" i="14"/>
  <c r="W499" i="14"/>
  <c r="X499" i="14"/>
  <c r="Y499" i="14"/>
  <c r="Z499" i="14"/>
  <c r="AA499" i="14"/>
  <c r="AB499" i="14"/>
  <c r="AC499" i="14"/>
  <c r="AD499" i="14"/>
  <c r="E500" i="14"/>
  <c r="F500" i="14"/>
  <c r="G500" i="14"/>
  <c r="H500" i="14"/>
  <c r="I500" i="14"/>
  <c r="J500" i="14"/>
  <c r="K500" i="14"/>
  <c r="L500" i="14"/>
  <c r="M500" i="14"/>
  <c r="N500" i="14"/>
  <c r="O500" i="14"/>
  <c r="P500" i="14"/>
  <c r="Q500" i="14"/>
  <c r="R500" i="14"/>
  <c r="S500" i="14"/>
  <c r="T500" i="14"/>
  <c r="U500" i="14"/>
  <c r="V500" i="14"/>
  <c r="W500" i="14"/>
  <c r="X500" i="14"/>
  <c r="Y500" i="14"/>
  <c r="Z500" i="14"/>
  <c r="AA500" i="14"/>
  <c r="AB500" i="14"/>
  <c r="AC500" i="14"/>
  <c r="AD500" i="14"/>
  <c r="E502" i="14"/>
  <c r="F502" i="14"/>
  <c r="G502" i="14"/>
  <c r="H502" i="14"/>
  <c r="I502" i="14"/>
  <c r="J502" i="14"/>
  <c r="K502" i="14"/>
  <c r="L502" i="14"/>
  <c r="M502" i="14"/>
  <c r="N502" i="14"/>
  <c r="O502" i="14"/>
  <c r="P502" i="14"/>
  <c r="Q502" i="14"/>
  <c r="R502" i="14"/>
  <c r="S502" i="14"/>
  <c r="T502" i="14"/>
  <c r="U502" i="14"/>
  <c r="V502" i="14"/>
  <c r="W502" i="14"/>
  <c r="X502" i="14"/>
  <c r="Y502" i="14"/>
  <c r="Z502" i="14"/>
  <c r="AA502" i="14"/>
  <c r="AB502" i="14"/>
  <c r="AC502" i="14"/>
  <c r="AD502" i="14"/>
  <c r="E505" i="14"/>
  <c r="F505" i="14"/>
  <c r="G505" i="14"/>
  <c r="H505" i="14"/>
  <c r="I505" i="14"/>
  <c r="J505" i="14"/>
  <c r="K505" i="14"/>
  <c r="L505" i="14"/>
  <c r="M505" i="14"/>
  <c r="N505" i="14"/>
  <c r="O505" i="14"/>
  <c r="P505" i="14"/>
  <c r="Q505" i="14"/>
  <c r="R505" i="14"/>
  <c r="S505" i="14"/>
  <c r="T505" i="14"/>
  <c r="U505" i="14"/>
  <c r="V505" i="14"/>
  <c r="W505" i="14"/>
  <c r="X505" i="14"/>
  <c r="Y505" i="14"/>
  <c r="Z505" i="14"/>
  <c r="AA505" i="14"/>
  <c r="AB505" i="14"/>
  <c r="AC505" i="14"/>
  <c r="AD505" i="14"/>
  <c r="E517" i="14"/>
  <c r="F517" i="14"/>
  <c r="G517" i="14"/>
  <c r="H517" i="14"/>
  <c r="I517" i="14"/>
  <c r="J517" i="14"/>
  <c r="E518" i="14"/>
  <c r="F518" i="14"/>
  <c r="G518" i="14"/>
  <c r="H518" i="14"/>
  <c r="I518" i="14"/>
  <c r="J518" i="14"/>
  <c r="K518" i="14"/>
  <c r="L518" i="14"/>
  <c r="M518" i="14"/>
  <c r="N518" i="14"/>
  <c r="O518" i="14"/>
  <c r="P518" i="14"/>
  <c r="Q518" i="14"/>
  <c r="R518" i="14"/>
  <c r="S518" i="14"/>
  <c r="T518" i="14"/>
  <c r="U518" i="14"/>
  <c r="V518" i="14"/>
  <c r="W518" i="14"/>
  <c r="X518" i="14"/>
  <c r="Y518" i="14"/>
  <c r="Z518" i="14"/>
  <c r="AA518" i="14"/>
  <c r="AB518" i="14"/>
  <c r="AC518" i="14"/>
  <c r="AD518" i="14"/>
  <c r="E521" i="14"/>
  <c r="F521" i="14"/>
  <c r="G521" i="14"/>
  <c r="H521" i="14"/>
  <c r="I521" i="14"/>
  <c r="E522" i="14"/>
  <c r="F522" i="14"/>
  <c r="G522" i="14"/>
  <c r="H522" i="14"/>
  <c r="I522" i="14"/>
  <c r="J522" i="14"/>
  <c r="K522" i="14"/>
  <c r="L522" i="14"/>
  <c r="M522" i="14"/>
  <c r="N522" i="14"/>
  <c r="O522" i="14"/>
  <c r="P522" i="14"/>
  <c r="Q522" i="14"/>
  <c r="R522" i="14"/>
  <c r="S522" i="14"/>
  <c r="T522" i="14"/>
  <c r="U522" i="14"/>
  <c r="V522" i="14"/>
  <c r="W522" i="14"/>
  <c r="X522" i="14"/>
  <c r="Y522" i="14"/>
  <c r="Z522" i="14"/>
  <c r="AA522" i="14"/>
  <c r="AB522" i="14"/>
  <c r="AC522" i="14"/>
  <c r="AD522" i="14"/>
  <c r="E524" i="14"/>
  <c r="F524" i="14"/>
  <c r="G524" i="14"/>
  <c r="H524" i="14"/>
  <c r="I524" i="14"/>
  <c r="J524" i="14"/>
  <c r="K524" i="14"/>
  <c r="L524" i="14"/>
  <c r="M524" i="14"/>
  <c r="N524" i="14"/>
  <c r="O524" i="14"/>
  <c r="P524" i="14"/>
  <c r="Q524" i="14"/>
  <c r="R524" i="14"/>
  <c r="S524" i="14"/>
  <c r="T524" i="14"/>
  <c r="U524" i="14"/>
  <c r="V524" i="14"/>
  <c r="W524" i="14"/>
  <c r="X524" i="14"/>
  <c r="Y524" i="14"/>
  <c r="Z524" i="14"/>
  <c r="AA524" i="14"/>
  <c r="AB524" i="14"/>
  <c r="AC524" i="14"/>
  <c r="AD524" i="14"/>
  <c r="E527" i="14"/>
  <c r="F527" i="14"/>
  <c r="G527" i="14"/>
  <c r="H527" i="14"/>
  <c r="E528" i="14"/>
  <c r="F528" i="14"/>
  <c r="G528" i="14"/>
  <c r="E531" i="14"/>
  <c r="F531" i="14"/>
  <c r="E532" i="14"/>
  <c r="F532" i="14"/>
  <c r="G532" i="14"/>
  <c r="H532" i="14"/>
  <c r="E539" i="14"/>
  <c r="F539" i="14"/>
  <c r="E545" i="14"/>
  <c r="F545" i="14"/>
  <c r="G545" i="14"/>
  <c r="E546" i="14"/>
  <c r="E547" i="14"/>
  <c r="F547" i="14"/>
  <c r="G547" i="14"/>
  <c r="H547" i="14"/>
  <c r="I547" i="14"/>
  <c r="J547" i="14"/>
  <c r="K547" i="14"/>
  <c r="L547" i="14"/>
  <c r="M547" i="14"/>
  <c r="N547" i="14"/>
  <c r="O547" i="14"/>
  <c r="P547" i="14"/>
  <c r="Q547" i="14"/>
  <c r="R547" i="14"/>
  <c r="S547" i="14"/>
  <c r="T547" i="14"/>
  <c r="U547" i="14"/>
  <c r="V547" i="14"/>
  <c r="W547" i="14"/>
  <c r="X547" i="14"/>
  <c r="Y547" i="14"/>
  <c r="Z547" i="14"/>
  <c r="AA547" i="14"/>
  <c r="AB547" i="14"/>
  <c r="AC547" i="14"/>
  <c r="AD547" i="14"/>
  <c r="E548" i="14"/>
  <c r="F548" i="14"/>
  <c r="G548" i="14"/>
  <c r="H548" i="14"/>
  <c r="I548" i="14"/>
  <c r="J548" i="14"/>
  <c r="K548" i="14"/>
  <c r="L548" i="14"/>
  <c r="M548" i="14"/>
  <c r="N548" i="14"/>
  <c r="O548" i="14"/>
  <c r="P548" i="14"/>
  <c r="Q548" i="14"/>
  <c r="R548" i="14"/>
  <c r="S548" i="14"/>
  <c r="T548" i="14"/>
  <c r="U548" i="14"/>
  <c r="V548" i="14"/>
  <c r="W548" i="14"/>
  <c r="X548" i="14"/>
  <c r="Y548" i="14"/>
  <c r="Z548" i="14"/>
  <c r="AA548" i="14"/>
  <c r="AB548" i="14"/>
  <c r="AC548" i="14"/>
  <c r="AD548" i="14"/>
  <c r="E549" i="14"/>
  <c r="F549" i="14"/>
  <c r="G549" i="14"/>
  <c r="H549" i="14"/>
  <c r="I549" i="14"/>
  <c r="J549" i="14"/>
  <c r="K549" i="14"/>
  <c r="L549" i="14"/>
  <c r="M549" i="14"/>
  <c r="N549" i="14"/>
  <c r="O549" i="14"/>
  <c r="P549" i="14"/>
  <c r="Q549" i="14"/>
  <c r="R549" i="14"/>
  <c r="S549" i="14"/>
  <c r="T549" i="14"/>
  <c r="U549" i="14"/>
  <c r="V549" i="14"/>
  <c r="W549" i="14"/>
  <c r="X549" i="14"/>
  <c r="Y549" i="14"/>
  <c r="Z549" i="14"/>
  <c r="AA549" i="14"/>
  <c r="AB549" i="14"/>
  <c r="AC549" i="14"/>
  <c r="AD549" i="14"/>
  <c r="E550" i="14"/>
  <c r="F550" i="14"/>
  <c r="G550" i="14"/>
  <c r="H550" i="14"/>
  <c r="I550" i="14"/>
  <c r="J550" i="14"/>
  <c r="K550" i="14"/>
  <c r="L550" i="14"/>
  <c r="M550" i="14"/>
  <c r="N550" i="14"/>
  <c r="O550" i="14"/>
  <c r="P550" i="14"/>
  <c r="Q550" i="14"/>
  <c r="R550" i="14"/>
  <c r="S550" i="14"/>
  <c r="T550" i="14"/>
  <c r="U550" i="14"/>
  <c r="V550" i="14"/>
  <c r="W550" i="14"/>
  <c r="X550" i="14"/>
  <c r="Y550" i="14"/>
  <c r="Z550" i="14"/>
  <c r="AA550" i="14"/>
  <c r="AB550" i="14"/>
  <c r="AC550" i="14"/>
  <c r="AD550" i="14"/>
  <c r="E555" i="14"/>
  <c r="F555" i="14"/>
  <c r="E556" i="14"/>
  <c r="F556" i="14"/>
  <c r="G556" i="14"/>
  <c r="H556" i="14"/>
  <c r="I556" i="14"/>
  <c r="J556" i="14"/>
  <c r="K556" i="14"/>
  <c r="L556" i="14"/>
  <c r="M556" i="14"/>
  <c r="N556" i="14"/>
  <c r="O556" i="14"/>
  <c r="P556" i="14"/>
  <c r="Q556" i="14"/>
  <c r="R556" i="14"/>
  <c r="S556" i="14"/>
  <c r="T556" i="14"/>
  <c r="U556" i="14"/>
  <c r="V556" i="14"/>
  <c r="W556" i="14"/>
  <c r="X556" i="14"/>
  <c r="Y556" i="14"/>
  <c r="Z556" i="14"/>
  <c r="AA556" i="14"/>
  <c r="AB556" i="14"/>
  <c r="AC556" i="14"/>
  <c r="AD556" i="14"/>
  <c r="E557" i="14"/>
  <c r="F557" i="14"/>
  <c r="G557" i="14"/>
  <c r="H557" i="14"/>
  <c r="I557" i="14"/>
  <c r="J557" i="14"/>
  <c r="K557" i="14"/>
  <c r="L557" i="14"/>
  <c r="M557" i="14"/>
  <c r="N557" i="14"/>
  <c r="O557" i="14"/>
  <c r="P557" i="14"/>
  <c r="Q557" i="14"/>
  <c r="R557" i="14"/>
  <c r="S557" i="14"/>
  <c r="T557" i="14"/>
  <c r="U557" i="14"/>
  <c r="V557" i="14"/>
  <c r="W557" i="14"/>
  <c r="X557" i="14"/>
  <c r="Y557" i="14"/>
  <c r="Z557" i="14"/>
  <c r="AA557" i="14"/>
  <c r="AB557" i="14"/>
  <c r="AC557" i="14"/>
  <c r="AD557" i="14"/>
  <c r="E558" i="14"/>
  <c r="F558" i="14"/>
  <c r="G558" i="14"/>
  <c r="H558" i="14"/>
  <c r="I558" i="14"/>
  <c r="J558" i="14"/>
  <c r="K558" i="14"/>
  <c r="L558" i="14"/>
  <c r="M558" i="14"/>
  <c r="N558" i="14"/>
  <c r="O558" i="14"/>
  <c r="P558" i="14"/>
  <c r="Q558" i="14"/>
  <c r="R558" i="14"/>
  <c r="S558" i="14"/>
  <c r="T558" i="14"/>
  <c r="U558" i="14"/>
  <c r="V558" i="14"/>
  <c r="W558" i="14"/>
  <c r="X558" i="14"/>
  <c r="Y558" i="14"/>
  <c r="Z558" i="14"/>
  <c r="AA558" i="14"/>
  <c r="AB558" i="14"/>
  <c r="AC558" i="14"/>
  <c r="AD558" i="14"/>
  <c r="E563" i="14"/>
  <c r="F563" i="14"/>
  <c r="G563" i="14"/>
  <c r="H563" i="14"/>
  <c r="I563" i="14"/>
  <c r="J563" i="14"/>
  <c r="K563" i="14"/>
  <c r="L563" i="14"/>
  <c r="M563" i="14"/>
  <c r="N563" i="14"/>
  <c r="O563" i="14"/>
  <c r="P563" i="14"/>
  <c r="Q563" i="14"/>
  <c r="R563" i="14"/>
  <c r="S563" i="14"/>
  <c r="T563" i="14"/>
  <c r="U563" i="14"/>
  <c r="V563" i="14"/>
  <c r="W563" i="14"/>
  <c r="X563" i="14"/>
  <c r="Y563" i="14"/>
  <c r="Z563" i="14"/>
  <c r="AA563" i="14"/>
  <c r="AB563" i="14"/>
  <c r="AC563" i="14"/>
  <c r="AD563" i="14"/>
  <c r="E564" i="14"/>
  <c r="F564" i="14"/>
  <c r="G564" i="14"/>
  <c r="H564" i="14"/>
  <c r="I564" i="14"/>
  <c r="J564" i="14"/>
  <c r="K564" i="14"/>
  <c r="L564" i="14"/>
  <c r="M564" i="14"/>
  <c r="N564" i="14"/>
  <c r="O564" i="14"/>
  <c r="P564" i="14"/>
  <c r="Q564" i="14"/>
  <c r="R564" i="14"/>
  <c r="S564" i="14"/>
  <c r="T564" i="14"/>
  <c r="U564" i="14"/>
  <c r="V564" i="14"/>
  <c r="W564" i="14"/>
  <c r="X564" i="14"/>
  <c r="Y564" i="14"/>
  <c r="Z564" i="14"/>
  <c r="AA564" i="14"/>
  <c r="AB564" i="14"/>
  <c r="AC564" i="14"/>
  <c r="AD564" i="14"/>
  <c r="E565" i="14"/>
  <c r="F565" i="14"/>
  <c r="G565" i="14"/>
  <c r="H565" i="14"/>
  <c r="I565" i="14"/>
  <c r="J565" i="14"/>
  <c r="K565" i="14"/>
  <c r="L565" i="14"/>
  <c r="M565" i="14"/>
  <c r="N565" i="14"/>
  <c r="O565" i="14"/>
  <c r="P565" i="14"/>
  <c r="Q565" i="14"/>
  <c r="R565" i="14"/>
  <c r="S565" i="14"/>
  <c r="T565" i="14"/>
  <c r="U565" i="14"/>
  <c r="V565" i="14"/>
  <c r="W565" i="14"/>
  <c r="X565" i="14"/>
  <c r="Y565" i="14"/>
  <c r="Z565" i="14"/>
  <c r="AA565" i="14"/>
  <c r="AB565" i="14"/>
  <c r="AC565" i="14"/>
  <c r="AD565" i="14"/>
  <c r="E571" i="14"/>
  <c r="F571" i="14"/>
  <c r="G138" i="14"/>
  <c r="G579" i="14"/>
  <c r="G432" i="14"/>
  <c r="G436" i="14"/>
  <c r="G437" i="14"/>
  <c r="H437" i="14"/>
  <c r="I437" i="14"/>
  <c r="J437" i="14"/>
  <c r="K437" i="14"/>
  <c r="L437" i="14"/>
  <c r="M437" i="14"/>
  <c r="N437" i="14"/>
  <c r="O437" i="14"/>
  <c r="P437" i="14"/>
  <c r="Q437" i="14"/>
  <c r="R437" i="14"/>
  <c r="S437" i="14"/>
  <c r="G443" i="14"/>
  <c r="G445" i="14"/>
  <c r="G447" i="14"/>
  <c r="G449" i="14"/>
  <c r="H610" i="14"/>
  <c r="I610" i="14"/>
  <c r="J610" i="14"/>
  <c r="K610" i="14"/>
  <c r="L610" i="14"/>
  <c r="M610" i="14"/>
  <c r="N610" i="14"/>
  <c r="O610" i="14"/>
  <c r="P610" i="14"/>
  <c r="Q610" i="14"/>
  <c r="R610" i="14"/>
  <c r="S610" i="14"/>
  <c r="T610" i="14"/>
  <c r="U610" i="14"/>
  <c r="V610" i="14"/>
  <c r="W610" i="14"/>
  <c r="X610" i="14"/>
  <c r="Y610" i="14"/>
  <c r="Z610" i="14"/>
  <c r="AA610" i="14"/>
  <c r="AB610" i="14"/>
  <c r="AC610" i="14"/>
  <c r="AD610" i="14"/>
  <c r="H432" i="14"/>
  <c r="H443" i="14"/>
  <c r="H445" i="14"/>
  <c r="H447" i="14"/>
  <c r="H449" i="14"/>
  <c r="H138" i="14"/>
  <c r="H579" i="14"/>
  <c r="I432" i="14"/>
  <c r="I443" i="14"/>
  <c r="I445" i="14"/>
  <c r="I447" i="14"/>
  <c r="I449" i="14"/>
  <c r="I138" i="14"/>
  <c r="I579" i="14"/>
  <c r="K139" i="14"/>
  <c r="K599" i="14"/>
  <c r="J432" i="14"/>
  <c r="J443" i="14"/>
  <c r="J445" i="14"/>
  <c r="J447" i="14"/>
  <c r="J449" i="14"/>
  <c r="J138" i="14"/>
  <c r="J579" i="14"/>
  <c r="L139" i="14"/>
  <c r="L599" i="14"/>
  <c r="K138" i="14"/>
  <c r="K579" i="14"/>
  <c r="K432" i="14"/>
  <c r="K436" i="14"/>
  <c r="K443" i="14"/>
  <c r="K444" i="14"/>
  <c r="L444" i="14"/>
  <c r="M444" i="14"/>
  <c r="N444" i="14"/>
  <c r="O444" i="14"/>
  <c r="P444" i="14"/>
  <c r="Q444" i="14"/>
  <c r="R444" i="14"/>
  <c r="S444" i="14"/>
  <c r="T444" i="14"/>
  <c r="U444" i="14"/>
  <c r="K447" i="14"/>
  <c r="K449" i="14"/>
  <c r="L138" i="14"/>
  <c r="L579" i="14"/>
  <c r="L432" i="14"/>
  <c r="L436" i="14"/>
  <c r="L443" i="14"/>
  <c r="L447" i="14"/>
  <c r="L448" i="14"/>
  <c r="M448" i="14"/>
  <c r="N448" i="14"/>
  <c r="O448" i="14"/>
  <c r="P448" i="14"/>
  <c r="Q448" i="14"/>
  <c r="R448" i="14"/>
  <c r="S448" i="14"/>
  <c r="T448" i="14"/>
  <c r="U448" i="14"/>
  <c r="M432" i="14"/>
  <c r="M443" i="14"/>
  <c r="M138" i="14"/>
  <c r="M579" i="14"/>
  <c r="N432" i="14"/>
  <c r="N443" i="14"/>
  <c r="N138" i="14"/>
  <c r="N579" i="14"/>
  <c r="O432" i="14"/>
  <c r="O443" i="14"/>
  <c r="O138" i="14"/>
  <c r="O579" i="14"/>
  <c r="Q139" i="14"/>
  <c r="Q599" i="14"/>
  <c r="P432" i="14"/>
  <c r="P443" i="14"/>
  <c r="P138" i="14"/>
  <c r="P579" i="14"/>
  <c r="Q138" i="14"/>
  <c r="Q579" i="14"/>
  <c r="Q432" i="14"/>
  <c r="Q436" i="14"/>
  <c r="Q443" i="14"/>
  <c r="Q447" i="14"/>
  <c r="R443" i="14"/>
  <c r="R432" i="14"/>
  <c r="R436" i="14"/>
  <c r="R138" i="14"/>
  <c r="R579" i="14"/>
  <c r="S443" i="14"/>
  <c r="S432" i="14"/>
  <c r="S436" i="14"/>
  <c r="S138" i="14"/>
  <c r="S579" i="14"/>
  <c r="U139" i="14"/>
  <c r="U599" i="14"/>
  <c r="S603" i="14"/>
  <c r="T443" i="14"/>
  <c r="T432" i="14"/>
  <c r="T436" i="14"/>
  <c r="T138" i="14"/>
  <c r="T579" i="14"/>
  <c r="E590" i="14"/>
  <c r="F590" i="14"/>
  <c r="G590" i="14"/>
  <c r="H590" i="14"/>
  <c r="I590" i="14"/>
  <c r="J590" i="14"/>
  <c r="K590" i="14"/>
  <c r="L590" i="14"/>
  <c r="M590" i="14"/>
  <c r="N590" i="14"/>
  <c r="O590" i="14"/>
  <c r="P590" i="14"/>
  <c r="Q590" i="14"/>
  <c r="R590" i="14"/>
  <c r="S590" i="14"/>
  <c r="T590" i="14"/>
  <c r="U590" i="14"/>
  <c r="V590" i="14"/>
  <c r="W590" i="14"/>
  <c r="X590" i="14"/>
  <c r="Y590" i="14"/>
  <c r="Z590" i="14"/>
  <c r="AA590" i="14"/>
  <c r="AB590" i="14"/>
  <c r="AC590" i="14"/>
  <c r="AD590" i="14"/>
  <c r="V139" i="14"/>
  <c r="V599" i="14"/>
  <c r="T603" i="14"/>
  <c r="U138" i="14"/>
  <c r="U579" i="14"/>
  <c r="U432" i="14"/>
  <c r="U436" i="14"/>
  <c r="U443" i="14"/>
  <c r="U447" i="14"/>
  <c r="W139" i="14"/>
  <c r="W599" i="14"/>
  <c r="U603" i="14"/>
  <c r="V432" i="14"/>
  <c r="V436" i="14"/>
  <c r="V443" i="14"/>
  <c r="V447" i="14"/>
  <c r="V138" i="14"/>
  <c r="V579" i="14"/>
  <c r="X139" i="14"/>
  <c r="X599" i="14"/>
  <c r="V603" i="14"/>
  <c r="W432" i="14"/>
  <c r="W436" i="14"/>
  <c r="W443" i="14"/>
  <c r="W447" i="14"/>
  <c r="W138" i="14"/>
  <c r="W579" i="14"/>
  <c r="Y139" i="14"/>
  <c r="Y599" i="14"/>
  <c r="W603" i="14"/>
  <c r="X432" i="14"/>
  <c r="X436" i="14"/>
  <c r="X443" i="14"/>
  <c r="X447" i="14"/>
  <c r="X138" i="14"/>
  <c r="X579" i="14"/>
  <c r="Z139" i="14"/>
  <c r="Z599" i="14"/>
  <c r="X603" i="14"/>
  <c r="Y432" i="14"/>
  <c r="Y436" i="14"/>
  <c r="Y443" i="14"/>
  <c r="Y447" i="14"/>
  <c r="Y138" i="14"/>
  <c r="Y579" i="14"/>
  <c r="AA139" i="14"/>
  <c r="AA599" i="14"/>
  <c r="Y603" i="14"/>
  <c r="Y756" i="14"/>
  <c r="Z432" i="14"/>
  <c r="Z436" i="14"/>
  <c r="Z443" i="14"/>
  <c r="Z447" i="14"/>
  <c r="Z138" i="14"/>
  <c r="Z579" i="14"/>
  <c r="AB139" i="14"/>
  <c r="AB599" i="14"/>
  <c r="Z603" i="14"/>
  <c r="Z756" i="14"/>
  <c r="AA432" i="14"/>
  <c r="AA436" i="14"/>
  <c r="AA443" i="14"/>
  <c r="AA447" i="14"/>
  <c r="AA138" i="14"/>
  <c r="AA579" i="14"/>
  <c r="AC139" i="14"/>
  <c r="AC599" i="14"/>
  <c r="AA603" i="14"/>
  <c r="AA756" i="14"/>
  <c r="AB432" i="14"/>
  <c r="AB436" i="14"/>
  <c r="AB443" i="14"/>
  <c r="AB447" i="14"/>
  <c r="AB138" i="14"/>
  <c r="AB579" i="14"/>
  <c r="AD139" i="14"/>
  <c r="AD599" i="14"/>
  <c r="AB603" i="14"/>
  <c r="AB756" i="14"/>
  <c r="AC432" i="14"/>
  <c r="AC436" i="14"/>
  <c r="AC443" i="14"/>
  <c r="AC447" i="14"/>
  <c r="AC138" i="14"/>
  <c r="AC579" i="14"/>
  <c r="AC603" i="14"/>
  <c r="AC756" i="14"/>
  <c r="AD310" i="14"/>
  <c r="C310" i="14"/>
  <c r="AD432" i="14"/>
  <c r="AD436" i="14"/>
  <c r="AD443" i="14"/>
  <c r="AD447" i="14"/>
  <c r="AD138" i="14"/>
  <c r="AD579" i="14"/>
  <c r="AD603" i="14"/>
  <c r="AD756" i="14"/>
  <c r="E60" i="9"/>
  <c r="E59" i="9"/>
  <c r="E81" i="9"/>
  <c r="E80" i="9"/>
  <c r="A759" i="14"/>
  <c r="A20" i="14"/>
  <c r="A5" i="9"/>
  <c r="E36" i="9"/>
  <c r="E84" i="9"/>
  <c r="E83" i="9"/>
  <c r="C83" i="9"/>
  <c r="E82" i="9"/>
  <c r="E673" i="14"/>
  <c r="C81" i="9"/>
  <c r="C79" i="9"/>
  <c r="C77" i="9"/>
  <c r="E63" i="9"/>
  <c r="E62" i="9"/>
  <c r="E61" i="9"/>
  <c r="E55" i="9"/>
  <c r="E47" i="9"/>
  <c r="E43" i="9"/>
  <c r="F37" i="9"/>
  <c r="D697" i="14"/>
  <c r="B697" i="14"/>
  <c r="A697" i="14"/>
  <c r="B579" i="14"/>
  <c r="A579" i="14"/>
  <c r="B738" i="14"/>
  <c r="A738" i="14"/>
  <c r="B708" i="14"/>
  <c r="A708" i="14"/>
  <c r="B706" i="14"/>
  <c r="B711" i="14"/>
  <c r="A706" i="14"/>
  <c r="A724" i="14"/>
  <c r="B692" i="14"/>
  <c r="A692" i="14"/>
  <c r="B687" i="14"/>
  <c r="A687" i="14"/>
  <c r="B682" i="14"/>
  <c r="A682" i="14"/>
  <c r="B663" i="14"/>
  <c r="A663" i="14"/>
  <c r="B664" i="14"/>
  <c r="A664" i="14"/>
  <c r="A648" i="14"/>
  <c r="B648" i="14"/>
  <c r="B329" i="14"/>
  <c r="A329" i="14"/>
  <c r="B328" i="14"/>
  <c r="A328" i="14"/>
  <c r="D642" i="14"/>
  <c r="B642" i="14"/>
  <c r="A642" i="14"/>
  <c r="C668" i="14"/>
  <c r="E646" i="14"/>
  <c r="D646" i="14"/>
  <c r="A649" i="14"/>
  <c r="A767" i="14"/>
  <c r="D139" i="14"/>
  <c r="D461" i="14"/>
  <c r="E139" i="14"/>
  <c r="E461" i="14"/>
  <c r="B599" i="14"/>
  <c r="A599" i="14"/>
  <c r="E572" i="14"/>
  <c r="D572" i="14"/>
  <c r="E570" i="14"/>
  <c r="D570" i="14"/>
  <c r="B570" i="14"/>
  <c r="A570" i="14"/>
  <c r="E641" i="14"/>
  <c r="D641" i="14"/>
  <c r="A641" i="14"/>
  <c r="E594" i="14"/>
  <c r="D594" i="14"/>
  <c r="A593" i="14"/>
  <c r="A594" i="14"/>
  <c r="B583" i="14"/>
  <c r="A583" i="14"/>
  <c r="B632" i="14"/>
  <c r="E575" i="14"/>
  <c r="D575" i="14"/>
  <c r="A575" i="14"/>
  <c r="E510" i="14"/>
  <c r="D510" i="14"/>
  <c r="A510" i="14"/>
  <c r="D540" i="14"/>
  <c r="D541" i="14"/>
  <c r="B540" i="14"/>
  <c r="A540" i="14"/>
  <c r="A533" i="14"/>
  <c r="A529" i="14"/>
  <c r="A525" i="14"/>
  <c r="D559" i="14"/>
  <c r="D551" i="14"/>
  <c r="D533" i="14"/>
  <c r="D529" i="14"/>
  <c r="D523" i="14"/>
  <c r="D525" i="14"/>
  <c r="D519" i="14"/>
  <c r="A535" i="14"/>
  <c r="A519" i="14"/>
  <c r="D501" i="14"/>
  <c r="D503" i="14"/>
  <c r="B465" i="14"/>
  <c r="A465" i="14"/>
  <c r="A503" i="14"/>
  <c r="AB461" i="14"/>
  <c r="D447" i="14"/>
  <c r="B447" i="14"/>
  <c r="A447" i="14"/>
  <c r="D443" i="14"/>
  <c r="B443" i="14"/>
  <c r="A443" i="14"/>
  <c r="A442" i="14"/>
  <c r="B419" i="14"/>
  <c r="B357" i="14"/>
  <c r="A357" i="14"/>
  <c r="B320" i="14"/>
  <c r="A320" i="14"/>
  <c r="D436" i="14"/>
  <c r="D432" i="14"/>
  <c r="B436" i="14"/>
  <c r="B432" i="14"/>
  <c r="A436" i="14"/>
  <c r="A432" i="14"/>
  <c r="A431" i="14"/>
  <c r="T123" i="14"/>
  <c r="S123" i="14"/>
  <c r="R123" i="14"/>
  <c r="M134" i="14"/>
  <c r="C338" i="14"/>
  <c r="C340" i="14"/>
  <c r="C343" i="14"/>
  <c r="C341" i="14"/>
  <c r="C342" i="14"/>
  <c r="C344" i="14"/>
  <c r="C345" i="14"/>
  <c r="A210" i="14"/>
  <c r="E158" i="14"/>
  <c r="D158" i="14"/>
  <c r="D123" i="14"/>
  <c r="E123" i="14"/>
  <c r="F123" i="14"/>
  <c r="G123" i="14"/>
  <c r="Q123" i="14"/>
  <c r="U123" i="14"/>
  <c r="V123" i="14"/>
  <c r="W123" i="14"/>
  <c r="X123" i="14"/>
  <c r="Y123" i="14"/>
  <c r="Z123" i="14"/>
  <c r="AA123" i="14"/>
  <c r="AB123" i="14"/>
  <c r="AC123" i="14"/>
  <c r="AD123" i="14"/>
  <c r="D134" i="14"/>
  <c r="E134" i="14"/>
  <c r="F134" i="14"/>
  <c r="G134" i="14"/>
  <c r="H134" i="14"/>
  <c r="I134" i="14"/>
  <c r="J134" i="14"/>
  <c r="K134" i="14"/>
  <c r="U134" i="14"/>
  <c r="V134" i="14"/>
  <c r="W134" i="14"/>
  <c r="X134" i="14"/>
  <c r="Y134" i="14"/>
  <c r="Z134" i="14"/>
  <c r="AA134" i="14"/>
  <c r="AB134" i="14"/>
  <c r="AC134" i="14"/>
  <c r="AD134" i="14"/>
  <c r="E157" i="14"/>
  <c r="D157" i="14"/>
  <c r="E124" i="14"/>
  <c r="F124" i="14"/>
  <c r="G124" i="14"/>
  <c r="Q124" i="14"/>
  <c r="R124" i="14"/>
  <c r="S124" i="14"/>
  <c r="T124" i="14"/>
  <c r="U124" i="14"/>
  <c r="V124" i="14"/>
  <c r="W124" i="14"/>
  <c r="X124" i="14"/>
  <c r="Y124" i="14"/>
  <c r="Z124" i="14"/>
  <c r="AA124" i="14"/>
  <c r="AB124" i="14"/>
  <c r="AC124" i="14"/>
  <c r="AD124" i="14"/>
  <c r="E125" i="14"/>
  <c r="F125" i="14"/>
  <c r="Q125" i="14"/>
  <c r="R125" i="14"/>
  <c r="S125" i="14"/>
  <c r="T125" i="14"/>
  <c r="U125" i="14"/>
  <c r="V125" i="14"/>
  <c r="W125" i="14"/>
  <c r="X125" i="14"/>
  <c r="Y125" i="14"/>
  <c r="Z125" i="14"/>
  <c r="AA125" i="14"/>
  <c r="AB125" i="14"/>
  <c r="AC125" i="14"/>
  <c r="AD125" i="14"/>
  <c r="D124" i="14"/>
  <c r="D125" i="14"/>
  <c r="E135" i="14"/>
  <c r="F135" i="14"/>
  <c r="G135" i="14"/>
  <c r="H135" i="14"/>
  <c r="I135" i="14"/>
  <c r="J135" i="14"/>
  <c r="K135" i="14"/>
  <c r="U135" i="14"/>
  <c r="V135" i="14"/>
  <c r="W135" i="14"/>
  <c r="X135" i="14"/>
  <c r="Y135" i="14"/>
  <c r="Z135" i="14"/>
  <c r="AA135" i="14"/>
  <c r="AB135" i="14"/>
  <c r="AC135" i="14"/>
  <c r="AD135" i="14"/>
  <c r="D135" i="14"/>
  <c r="E126" i="14"/>
  <c r="F126" i="14"/>
  <c r="G126" i="14"/>
  <c r="H126" i="14"/>
  <c r="K126" i="14"/>
  <c r="L126" i="14"/>
  <c r="Q126" i="14"/>
  <c r="R126" i="14"/>
  <c r="S126" i="14"/>
  <c r="T126" i="14"/>
  <c r="U126" i="14"/>
  <c r="V126" i="14"/>
  <c r="W126" i="14"/>
  <c r="X126" i="14"/>
  <c r="Y126" i="14"/>
  <c r="Z126" i="14"/>
  <c r="AA126" i="14"/>
  <c r="AB126" i="14"/>
  <c r="AC126" i="14"/>
  <c r="AD126" i="14"/>
  <c r="D126" i="14"/>
  <c r="D146" i="14"/>
  <c r="D145" i="14"/>
  <c r="C129" i="14"/>
  <c r="C116" i="14"/>
  <c r="D218" i="14"/>
  <c r="A587" i="14"/>
  <c r="C352" i="14"/>
  <c r="A288" i="14"/>
  <c r="D764" i="14"/>
  <c r="C764" i="14"/>
  <c r="B764" i="14"/>
  <c r="A764" i="14"/>
  <c r="C756" i="14"/>
  <c r="B756" i="14"/>
  <c r="A756" i="14"/>
  <c r="AD755" i="14"/>
  <c r="AC755" i="14"/>
  <c r="AB755" i="14"/>
  <c r="AA755" i="14"/>
  <c r="Z755" i="14"/>
  <c r="Y755" i="14"/>
  <c r="D755" i="14"/>
  <c r="C755" i="14"/>
  <c r="B755" i="14"/>
  <c r="A755" i="14"/>
  <c r="A752" i="14"/>
  <c r="A21" i="14"/>
  <c r="A10" i="9"/>
  <c r="A15" i="9"/>
  <c r="B747" i="14"/>
  <c r="B17" i="14"/>
  <c r="B746" i="14"/>
  <c r="B16" i="14"/>
  <c r="B745" i="14"/>
  <c r="B15" i="14"/>
  <c r="B744" i="14"/>
  <c r="B14" i="14"/>
  <c r="D741" i="14"/>
  <c r="C741" i="14"/>
  <c r="B741" i="14"/>
  <c r="A741" i="14"/>
  <c r="A739" i="14"/>
  <c r="A768" i="14"/>
  <c r="B732" i="14"/>
  <c r="A732" i="14"/>
  <c r="B726" i="14"/>
  <c r="A726" i="14"/>
  <c r="B727" i="14"/>
  <c r="A727" i="14"/>
  <c r="A710" i="14"/>
  <c r="B709" i="14"/>
  <c r="A709" i="14"/>
  <c r="B693" i="14"/>
  <c r="A693" i="14"/>
  <c r="B688" i="14"/>
  <c r="A688" i="14"/>
  <c r="B683" i="14"/>
  <c r="A683" i="14"/>
  <c r="B676" i="14"/>
  <c r="A676" i="14"/>
  <c r="A677" i="14"/>
  <c r="E675" i="14"/>
  <c r="D675" i="14"/>
  <c r="B675" i="14"/>
  <c r="A675" i="14"/>
  <c r="D674" i="14"/>
  <c r="B674" i="14"/>
  <c r="A674" i="14"/>
  <c r="D673" i="14"/>
  <c r="B673" i="14"/>
  <c r="A673" i="14"/>
  <c r="D672" i="14"/>
  <c r="B672" i="14"/>
  <c r="A672" i="14"/>
  <c r="D671" i="14"/>
  <c r="B671" i="14"/>
  <c r="A671" i="14"/>
  <c r="B670" i="14"/>
  <c r="A670" i="14"/>
  <c r="B669" i="14"/>
  <c r="A669" i="14"/>
  <c r="B668" i="14"/>
  <c r="A668" i="14"/>
  <c r="D667" i="14"/>
  <c r="B667" i="14"/>
  <c r="A667" i="14"/>
  <c r="D657" i="14"/>
  <c r="C657" i="14"/>
  <c r="B657" i="14"/>
  <c r="A657" i="14"/>
  <c r="A655" i="14"/>
  <c r="A12" i="14"/>
  <c r="B654" i="14"/>
  <c r="A654" i="14"/>
  <c r="A603" i="14"/>
  <c r="A572" i="14"/>
  <c r="D596" i="14"/>
  <c r="C596" i="14"/>
  <c r="B596" i="14"/>
  <c r="A596" i="14"/>
  <c r="B629" i="14"/>
  <c r="B618" i="14"/>
  <c r="B615" i="14"/>
  <c r="A611" i="14"/>
  <c r="D605" i="14"/>
  <c r="C605" i="14"/>
  <c r="B605" i="14"/>
  <c r="A605" i="14"/>
  <c r="E566" i="14"/>
  <c r="D566" i="14"/>
  <c r="A566" i="14"/>
  <c r="A559" i="14"/>
  <c r="A551" i="14"/>
  <c r="A541" i="14"/>
  <c r="D512" i="14"/>
  <c r="C512" i="14"/>
  <c r="B512" i="14"/>
  <c r="A512" i="14"/>
  <c r="D463" i="14"/>
  <c r="C463" i="14"/>
  <c r="B463" i="14"/>
  <c r="A463" i="14"/>
  <c r="D426" i="14"/>
  <c r="C426" i="14"/>
  <c r="B426" i="14"/>
  <c r="A426" i="14"/>
  <c r="A359" i="14"/>
  <c r="D332" i="14"/>
  <c r="C332" i="14"/>
  <c r="B332" i="14"/>
  <c r="A332" i="14"/>
  <c r="A311" i="14"/>
  <c r="A765" i="14"/>
  <c r="B302" i="14"/>
  <c r="A302" i="14"/>
  <c r="B301" i="14"/>
  <c r="A301" i="14"/>
  <c r="B297" i="14"/>
  <c r="A297" i="14"/>
  <c r="B296" i="14"/>
  <c r="A296" i="14"/>
  <c r="D294" i="14"/>
  <c r="C294" i="14"/>
  <c r="B294" i="14"/>
  <c r="A294" i="14"/>
  <c r="B291" i="14"/>
  <c r="A291" i="14"/>
  <c r="B289" i="14"/>
  <c r="A289" i="14"/>
  <c r="B274" i="14"/>
  <c r="A274" i="14"/>
  <c r="B273" i="14"/>
  <c r="A273" i="14"/>
  <c r="B270" i="14"/>
  <c r="A270" i="14"/>
  <c r="B269" i="14"/>
  <c r="A269" i="14"/>
  <c r="B266" i="14"/>
  <c r="A266" i="14"/>
  <c r="B265" i="14"/>
  <c r="A265" i="14"/>
  <c r="B256" i="14"/>
  <c r="A256" i="14"/>
  <c r="A254" i="14"/>
  <c r="B253" i="14"/>
  <c r="A253" i="14"/>
  <c r="A252" i="14"/>
  <c r="B251" i="14"/>
  <c r="A251" i="14"/>
  <c r="B247" i="14"/>
  <c r="A247" i="14"/>
  <c r="B243" i="14"/>
  <c r="A243" i="14"/>
  <c r="B242" i="14"/>
  <c r="A242" i="14"/>
  <c r="B241" i="14"/>
  <c r="A241" i="14"/>
  <c r="B240" i="14"/>
  <c r="A240" i="14"/>
  <c r="B239" i="14"/>
  <c r="A239" i="14"/>
  <c r="B238" i="14"/>
  <c r="A238" i="14"/>
  <c r="B237" i="14"/>
  <c r="A237" i="14"/>
  <c r="B236" i="14"/>
  <c r="A236" i="14"/>
  <c r="B235" i="14"/>
  <c r="A235" i="14"/>
  <c r="B234" i="14"/>
  <c r="A234" i="14"/>
  <c r="B233" i="14"/>
  <c r="A233" i="14"/>
  <c r="A232" i="14"/>
  <c r="B231" i="14"/>
  <c r="A231" i="14"/>
  <c r="B227" i="14"/>
  <c r="A227" i="14"/>
  <c r="D223" i="14"/>
  <c r="B223" i="14"/>
  <c r="A223" i="14"/>
  <c r="B218" i="14"/>
  <c r="A218" i="14"/>
  <c r="B217" i="14"/>
  <c r="A217" i="14"/>
  <c r="B216" i="14"/>
  <c r="A216" i="14"/>
  <c r="B215" i="14"/>
  <c r="A215" i="14"/>
  <c r="B214" i="14"/>
  <c r="A214" i="14"/>
  <c r="D206" i="14"/>
  <c r="C206" i="14"/>
  <c r="B206" i="14"/>
  <c r="A206" i="14"/>
  <c r="A632" i="14"/>
  <c r="A618" i="14"/>
  <c r="D187" i="14"/>
  <c r="C187" i="14"/>
  <c r="B187" i="14"/>
  <c r="A187" i="14"/>
  <c r="A184" i="14"/>
  <c r="A183" i="14"/>
  <c r="A182" i="14"/>
  <c r="A181" i="14"/>
  <c r="D149" i="14"/>
  <c r="C149" i="14"/>
  <c r="B149" i="14"/>
  <c r="A149" i="14"/>
  <c r="D113" i="14"/>
  <c r="C113" i="14"/>
  <c r="B113" i="14"/>
  <c r="A113" i="14"/>
  <c r="E95" i="14"/>
  <c r="D95" i="14"/>
  <c r="A95" i="14"/>
  <c r="D94" i="14"/>
  <c r="C94" i="14"/>
  <c r="B94" i="14"/>
  <c r="A94" i="14"/>
  <c r="B21" i="14"/>
  <c r="B10" i="9"/>
  <c r="B20" i="14"/>
  <c r="B5" i="9"/>
  <c r="D243" i="14"/>
  <c r="D242" i="14"/>
  <c r="D241" i="14"/>
  <c r="D240" i="14"/>
  <c r="D239" i="14"/>
  <c r="D238" i="14"/>
  <c r="D237" i="14"/>
  <c r="D236" i="14"/>
  <c r="D235" i="14"/>
  <c r="D214" i="14"/>
  <c r="E218" i="14"/>
  <c r="E214" i="21"/>
  <c r="E214" i="20"/>
  <c r="F68" i="9"/>
  <c r="E254" i="21"/>
  <c r="E254" i="20"/>
  <c r="E218" i="21"/>
  <c r="E218" i="20"/>
  <c r="E675" i="21"/>
  <c r="E675" i="20"/>
  <c r="E727" i="21"/>
  <c r="E727" i="20"/>
  <c r="E253" i="21"/>
  <c r="E253" i="20"/>
  <c r="F55" i="9"/>
  <c r="E235" i="21"/>
  <c r="E235" i="20"/>
  <c r="E693" i="21"/>
  <c r="E693" i="20"/>
  <c r="F61" i="9"/>
  <c r="E241" i="21"/>
  <c r="E241" i="20"/>
  <c r="E688" i="14"/>
  <c r="E688" i="21"/>
  <c r="E688" i="20"/>
  <c r="F58" i="9"/>
  <c r="E238" i="21"/>
  <c r="E238" i="20"/>
  <c r="F54" i="9"/>
  <c r="F234" i="14"/>
  <c r="E234" i="21"/>
  <c r="E233" i="21"/>
  <c r="E245" i="21"/>
  <c r="E246" i="21"/>
  <c r="E234" i="20"/>
  <c r="E233" i="20"/>
  <c r="E245" i="20"/>
  <c r="E246" i="20"/>
  <c r="E674" i="21"/>
  <c r="E674" i="20"/>
  <c r="E426" i="21"/>
  <c r="E332" i="21"/>
  <c r="E294" i="21"/>
  <c r="E764" i="21"/>
  <c r="E741" i="21"/>
  <c r="E463" i="21"/>
  <c r="E596" i="21"/>
  <c r="E512" i="21"/>
  <c r="E605" i="21"/>
  <c r="E94" i="21"/>
  <c r="E113" i="21"/>
  <c r="E187" i="21"/>
  <c r="E149" i="21"/>
  <c r="E741" i="20"/>
  <c r="E596" i="20"/>
  <c r="E294" i="20"/>
  <c r="E605" i="20"/>
  <c r="E463" i="20"/>
  <c r="E657" i="20"/>
  <c r="E206" i="21"/>
  <c r="E764" i="20"/>
  <c r="E426" i="20"/>
  <c r="E657" i="21"/>
  <c r="E332" i="20"/>
  <c r="E512" i="20"/>
  <c r="E206" i="20"/>
  <c r="E187" i="20"/>
  <c r="E94" i="20"/>
  <c r="E149" i="20"/>
  <c r="E113" i="20"/>
  <c r="F57" i="9"/>
  <c r="E237" i="21"/>
  <c r="E237" i="20"/>
  <c r="F53" i="9"/>
  <c r="F62" i="9"/>
  <c r="E242" i="21"/>
  <c r="E242" i="20"/>
  <c r="E671" i="21"/>
  <c r="E671" i="20"/>
  <c r="E683" i="21"/>
  <c r="E683" i="20"/>
  <c r="F56" i="9"/>
  <c r="F236" i="14"/>
  <c r="E236" i="21"/>
  <c r="E236" i="20"/>
  <c r="E216" i="21"/>
  <c r="E216" i="20"/>
  <c r="E243" i="21"/>
  <c r="E243" i="20"/>
  <c r="F81" i="9"/>
  <c r="E672" i="21"/>
  <c r="E672" i="20"/>
  <c r="E669" i="21"/>
  <c r="E669" i="20"/>
  <c r="F46" i="9"/>
  <c r="E217" i="21"/>
  <c r="E217" i="20"/>
  <c r="E667" i="14"/>
  <c r="E667" i="21"/>
  <c r="E667" i="20"/>
  <c r="F59" i="9"/>
  <c r="E239" i="21"/>
  <c r="E239" i="20"/>
  <c r="E670" i="21"/>
  <c r="E670" i="20"/>
  <c r="F49" i="9"/>
  <c r="G49" i="9"/>
  <c r="E223" i="21"/>
  <c r="E223" i="20"/>
  <c r="F44" i="9"/>
  <c r="E215" i="21"/>
  <c r="E215" i="20"/>
  <c r="C668" i="21"/>
  <c r="C668" i="20"/>
  <c r="F60" i="9"/>
  <c r="E240" i="21"/>
  <c r="E240" i="20"/>
  <c r="E668" i="21"/>
  <c r="E668" i="20"/>
  <c r="E678" i="20"/>
  <c r="D756" i="14"/>
  <c r="D756" i="21"/>
  <c r="D756" i="20"/>
  <c r="E657" i="14"/>
  <c r="C670" i="21"/>
  <c r="C670" i="20"/>
  <c r="C672" i="21"/>
  <c r="C672" i="20"/>
  <c r="E755" i="21"/>
  <c r="E755" i="20"/>
  <c r="E237" i="14"/>
  <c r="F82" i="9"/>
  <c r="E673" i="21"/>
  <c r="E673" i="20"/>
  <c r="E732" i="21"/>
  <c r="E732" i="20"/>
  <c r="E240" i="14"/>
  <c r="F95" i="21"/>
  <c r="F95" i="20"/>
  <c r="C674" i="20"/>
  <c r="C674" i="21"/>
  <c r="E726" i="14"/>
  <c r="E726" i="21"/>
  <c r="E726" i="20"/>
  <c r="E289" i="21"/>
  <c r="E290" i="21"/>
  <c r="E292" i="21"/>
  <c r="E302" i="21"/>
  <c r="E289" i="20"/>
  <c r="E290" i="20"/>
  <c r="E292" i="20"/>
  <c r="E302" i="20"/>
  <c r="H738" i="21"/>
  <c r="I98" i="21"/>
  <c r="I320" i="21"/>
  <c r="I676" i="21"/>
  <c r="I677" i="21"/>
  <c r="I227" i="21"/>
  <c r="J100" i="21"/>
  <c r="H320" i="21"/>
  <c r="H697" i="21"/>
  <c r="H648" i="21"/>
  <c r="H357" i="21"/>
  <c r="J270" i="21"/>
  <c r="K107" i="21"/>
  <c r="J274" i="21"/>
  <c r="K108" i="21"/>
  <c r="I697" i="21"/>
  <c r="J98" i="21"/>
  <c r="I642" i="21"/>
  <c r="I357" i="21"/>
  <c r="I648" i="21"/>
  <c r="I738" i="21"/>
  <c r="K266" i="21"/>
  <c r="L106" i="21"/>
  <c r="K291" i="21"/>
  <c r="L103" i="21"/>
  <c r="N101" i="21"/>
  <c r="M247" i="21"/>
  <c r="L256" i="21"/>
  <c r="M102" i="21"/>
  <c r="D283" i="21"/>
  <c r="D315" i="21"/>
  <c r="L676" i="20"/>
  <c r="L677" i="20"/>
  <c r="M100" i="20"/>
  <c r="L227" i="20"/>
  <c r="J291" i="20"/>
  <c r="K103" i="20"/>
  <c r="K256" i="20"/>
  <c r="L102" i="20"/>
  <c r="L247" i="20"/>
  <c r="M101" i="20"/>
  <c r="I461" i="21"/>
  <c r="P134" i="21"/>
  <c r="C134" i="21"/>
  <c r="C130" i="21"/>
  <c r="C131" i="21"/>
  <c r="H287" i="21"/>
  <c r="G200" i="21"/>
  <c r="H179" i="21"/>
  <c r="H184" i="21"/>
  <c r="H167" i="21"/>
  <c r="H168" i="21"/>
  <c r="H172" i="21"/>
  <c r="H183" i="21"/>
  <c r="G191" i="21"/>
  <c r="H212" i="21"/>
  <c r="H461" i="21"/>
  <c r="E303" i="21"/>
  <c r="E317" i="21"/>
  <c r="E326" i="21"/>
  <c r="E682" i="21"/>
  <c r="E301" i="21"/>
  <c r="E204" i="21"/>
  <c r="E632" i="21"/>
  <c r="H484" i="21"/>
  <c r="I482" i="21"/>
  <c r="F200" i="21"/>
  <c r="G287" i="21"/>
  <c r="G179" i="21"/>
  <c r="I583" i="21"/>
  <c r="I585" i="21"/>
  <c r="I587" i="21"/>
  <c r="I570" i="21"/>
  <c r="I572" i="21"/>
  <c r="I350" i="21"/>
  <c r="I354" i="21"/>
  <c r="I566" i="21"/>
  <c r="I465" i="21"/>
  <c r="I159" i="21"/>
  <c r="I158" i="21"/>
  <c r="I157" i="21"/>
  <c r="I178" i="21"/>
  <c r="J165" i="21"/>
  <c r="AD419" i="21"/>
  <c r="AD422" i="21"/>
  <c r="K559" i="21"/>
  <c r="L555" i="21"/>
  <c r="G585" i="21"/>
  <c r="J527" i="21"/>
  <c r="I529" i="21"/>
  <c r="V419" i="21"/>
  <c r="V422" i="21"/>
  <c r="K572" i="21"/>
  <c r="K566" i="21"/>
  <c r="K583" i="21"/>
  <c r="K585" i="21"/>
  <c r="K587" i="21"/>
  <c r="K570" i="21"/>
  <c r="K465" i="21"/>
  <c r="K591" i="21"/>
  <c r="K350" i="21"/>
  <c r="K354" i="21"/>
  <c r="K157" i="21"/>
  <c r="K159" i="21"/>
  <c r="K158" i="21"/>
  <c r="D404" i="21"/>
  <c r="D419" i="21"/>
  <c r="H401" i="21"/>
  <c r="H402" i="21"/>
  <c r="H356" i="21"/>
  <c r="O449" i="21"/>
  <c r="AC419" i="21"/>
  <c r="AC422" i="21"/>
  <c r="G603" i="21"/>
  <c r="K551" i="21"/>
  <c r="L545" i="21"/>
  <c r="L469" i="21"/>
  <c r="D632" i="21"/>
  <c r="F593" i="21"/>
  <c r="F594" i="21"/>
  <c r="F183" i="21"/>
  <c r="F182" i="21"/>
  <c r="F185" i="21"/>
  <c r="P436" i="21"/>
  <c r="P438" i="21"/>
  <c r="P139" i="21"/>
  <c r="P145" i="21"/>
  <c r="Q152" i="21"/>
  <c r="Y419" i="21"/>
  <c r="Y422" i="21"/>
  <c r="J599" i="21"/>
  <c r="H603" i="21"/>
  <c r="C139" i="21"/>
  <c r="G507" i="21"/>
  <c r="G494" i="21"/>
  <c r="G509" i="21"/>
  <c r="G574" i="21"/>
  <c r="G575" i="21"/>
  <c r="Z419" i="21"/>
  <c r="Z422" i="21"/>
  <c r="L458" i="21"/>
  <c r="L460" i="21"/>
  <c r="J438" i="21"/>
  <c r="L401" i="21"/>
  <c r="L402" i="21"/>
  <c r="L356" i="21"/>
  <c r="K177" i="21"/>
  <c r="I539" i="21"/>
  <c r="H541" i="21"/>
  <c r="H574" i="21"/>
  <c r="H575" i="21"/>
  <c r="K458" i="21"/>
  <c r="K460" i="21"/>
  <c r="D745" i="21"/>
  <c r="D766" i="21"/>
  <c r="J540" i="21"/>
  <c r="K483" i="21"/>
  <c r="G401" i="21"/>
  <c r="G402" i="21"/>
  <c r="G356" i="21"/>
  <c r="G359" i="21"/>
  <c r="N531" i="21"/>
  <c r="M533" i="21"/>
  <c r="N433" i="21"/>
  <c r="M434" i="21"/>
  <c r="M440" i="21"/>
  <c r="M453" i="21"/>
  <c r="L517" i="21"/>
  <c r="K519" i="21"/>
  <c r="I629" i="21"/>
  <c r="I631" i="21"/>
  <c r="J611" i="21"/>
  <c r="I615" i="21"/>
  <c r="I617" i="21"/>
  <c r="D622" i="21"/>
  <c r="D619" i="21"/>
  <c r="D317" i="21"/>
  <c r="D284" i="21"/>
  <c r="D316" i="21"/>
  <c r="D318" i="21"/>
  <c r="O121" i="21"/>
  <c r="N126" i="21"/>
  <c r="I498" i="21"/>
  <c r="H501" i="21"/>
  <c r="H503" i="21"/>
  <c r="H507" i="21"/>
  <c r="O119" i="21"/>
  <c r="N124" i="21"/>
  <c r="P447" i="21"/>
  <c r="P449" i="21"/>
  <c r="P451" i="21"/>
  <c r="P146" i="21"/>
  <c r="Q153" i="21"/>
  <c r="P135" i="21"/>
  <c r="C135" i="21"/>
  <c r="K628" i="21"/>
  <c r="N154" i="21"/>
  <c r="O599" i="21"/>
  <c r="M603" i="21"/>
  <c r="AB419" i="21"/>
  <c r="AB422" i="21"/>
  <c r="D324" i="21"/>
  <c r="O152" i="21"/>
  <c r="K523" i="21"/>
  <c r="K525" i="21"/>
  <c r="L521" i="21"/>
  <c r="F389" i="21"/>
  <c r="F390" i="21"/>
  <c r="M154" i="21"/>
  <c r="O120" i="21"/>
  <c r="N125" i="21"/>
  <c r="G492" i="21"/>
  <c r="C117" i="21"/>
  <c r="F378" i="21"/>
  <c r="F356" i="21"/>
  <c r="F401" i="21"/>
  <c r="T599" i="21"/>
  <c r="R603" i="21"/>
  <c r="N614" i="21"/>
  <c r="I471" i="21"/>
  <c r="H473" i="21"/>
  <c r="H479" i="21"/>
  <c r="H492" i="21"/>
  <c r="H494" i="21"/>
  <c r="G167" i="21"/>
  <c r="G171" i="21"/>
  <c r="G182" i="21"/>
  <c r="G212" i="21"/>
  <c r="G168" i="21"/>
  <c r="F191" i="21"/>
  <c r="F509" i="21"/>
  <c r="N123" i="21"/>
  <c r="N140" i="21"/>
  <c r="H373" i="21"/>
  <c r="G377" i="21"/>
  <c r="G378" i="21"/>
  <c r="G385" i="21"/>
  <c r="G389" i="21"/>
  <c r="J140" i="21"/>
  <c r="D416" i="21"/>
  <c r="J152" i="21"/>
  <c r="AA448" i="21"/>
  <c r="Z449" i="21"/>
  <c r="E622" i="21"/>
  <c r="E619" i="21"/>
  <c r="E624" i="21"/>
  <c r="K475" i="21"/>
  <c r="J477" i="21"/>
  <c r="F575" i="21"/>
  <c r="V437" i="21"/>
  <c r="U438" i="21"/>
  <c r="H591" i="21"/>
  <c r="O146" i="21"/>
  <c r="P153" i="21"/>
  <c r="S444" i="21"/>
  <c r="R445" i="21"/>
  <c r="D265" i="21"/>
  <c r="D267" i="21"/>
  <c r="D228" i="21"/>
  <c r="S144" i="21"/>
  <c r="R146" i="21"/>
  <c r="H178" i="20"/>
  <c r="I401" i="20"/>
  <c r="I402" i="20"/>
  <c r="D185" i="20"/>
  <c r="R593" i="20"/>
  <c r="R594" i="20"/>
  <c r="I270" i="20"/>
  <c r="J107" i="20"/>
  <c r="K274" i="20"/>
  <c r="L108" i="20"/>
  <c r="K106" i="20"/>
  <c r="J266" i="20"/>
  <c r="I359" i="20"/>
  <c r="I766" i="20"/>
  <c r="J642" i="20"/>
  <c r="J320" i="20"/>
  <c r="K98" i="20"/>
  <c r="J738" i="20"/>
  <c r="J648" i="20"/>
  <c r="J357" i="20"/>
  <c r="J697" i="20"/>
  <c r="P134" i="20"/>
  <c r="C134" i="20"/>
  <c r="C131" i="20"/>
  <c r="H287" i="20"/>
  <c r="H168" i="20"/>
  <c r="H167" i="20"/>
  <c r="H212" i="20"/>
  <c r="J539" i="20"/>
  <c r="I541" i="20"/>
  <c r="P447" i="20"/>
  <c r="P449" i="20"/>
  <c r="P451" i="20"/>
  <c r="P146" i="20"/>
  <c r="Q153" i="20"/>
  <c r="P135" i="20"/>
  <c r="C135" i="20"/>
  <c r="C130" i="20"/>
  <c r="J617" i="20"/>
  <c r="K614" i="20"/>
  <c r="K629" i="20"/>
  <c r="K631" i="20"/>
  <c r="L611" i="20"/>
  <c r="K615" i="20"/>
  <c r="F231" i="20"/>
  <c r="I473" i="20"/>
  <c r="J471" i="20"/>
  <c r="S401" i="20"/>
  <c r="S402" i="20"/>
  <c r="S356" i="20"/>
  <c r="E201" i="20"/>
  <c r="N401" i="20"/>
  <c r="N402" i="20"/>
  <c r="N356" i="20"/>
  <c r="D283" i="20"/>
  <c r="D315" i="20"/>
  <c r="F509" i="20"/>
  <c r="M572" i="20"/>
  <c r="M583" i="20"/>
  <c r="M585" i="20"/>
  <c r="M587" i="20"/>
  <c r="M591" i="20"/>
  <c r="M570" i="20"/>
  <c r="M566" i="20"/>
  <c r="M465" i="20"/>
  <c r="M350" i="20"/>
  <c r="M354" i="20"/>
  <c r="M159" i="20"/>
  <c r="M158" i="20"/>
  <c r="C144" i="20"/>
  <c r="C132" i="20"/>
  <c r="I745" i="20"/>
  <c r="J583" i="20"/>
  <c r="J585" i="20"/>
  <c r="J587" i="20"/>
  <c r="J591" i="20"/>
  <c r="J572" i="20"/>
  <c r="J566" i="20"/>
  <c r="J350" i="20"/>
  <c r="J354" i="20"/>
  <c r="J465" i="20"/>
  <c r="J570" i="20"/>
  <c r="J158" i="20"/>
  <c r="J159" i="20"/>
  <c r="J157" i="20"/>
  <c r="I591" i="20"/>
  <c r="I593" i="20"/>
  <c r="I594" i="20"/>
  <c r="L591" i="20"/>
  <c r="L566" i="20"/>
  <c r="L572" i="20"/>
  <c r="L465" i="20"/>
  <c r="L583" i="20"/>
  <c r="L585" i="20"/>
  <c r="L587" i="20"/>
  <c r="L570" i="20"/>
  <c r="L350" i="20"/>
  <c r="L354" i="20"/>
  <c r="L158" i="20"/>
  <c r="L159" i="20"/>
  <c r="M555" i="20"/>
  <c r="L559" i="20"/>
  <c r="H179" i="20"/>
  <c r="H184" i="20"/>
  <c r="I177" i="20"/>
  <c r="E416" i="20"/>
  <c r="F251" i="20"/>
  <c r="G570" i="20"/>
  <c r="G583" i="20"/>
  <c r="G591" i="20"/>
  <c r="G465" i="20"/>
  <c r="G572" i="20"/>
  <c r="G566" i="20"/>
  <c r="G350" i="20"/>
  <c r="G157" i="20"/>
  <c r="G158" i="20"/>
  <c r="G159" i="20"/>
  <c r="G178" i="20"/>
  <c r="F591" i="20"/>
  <c r="F401" i="20"/>
  <c r="F356" i="20"/>
  <c r="H453" i="20"/>
  <c r="N125" i="20"/>
  <c r="O599" i="20"/>
  <c r="M603" i="20"/>
  <c r="AB419" i="20"/>
  <c r="AB422" i="20"/>
  <c r="J521" i="20"/>
  <c r="I523" i="20"/>
  <c r="I525" i="20"/>
  <c r="D265" i="20"/>
  <c r="D267" i="20"/>
  <c r="D228" i="20"/>
  <c r="J540" i="20"/>
  <c r="K483" i="20"/>
  <c r="H477" i="20"/>
  <c r="H479" i="20"/>
  <c r="H492" i="20"/>
  <c r="H494" i="20"/>
  <c r="I475" i="20"/>
  <c r="I531" i="20"/>
  <c r="H533" i="20"/>
  <c r="H535" i="20"/>
  <c r="H574" i="20"/>
  <c r="H575" i="20"/>
  <c r="P436" i="20"/>
  <c r="P438" i="20"/>
  <c r="P145" i="20"/>
  <c r="Q152" i="20"/>
  <c r="Q154" i="20"/>
  <c r="P139" i="20"/>
  <c r="E192" i="20"/>
  <c r="M519" i="20"/>
  <c r="N517" i="20"/>
  <c r="Y419" i="20"/>
  <c r="Y422" i="20"/>
  <c r="D632" i="20"/>
  <c r="N126" i="20"/>
  <c r="K401" i="20"/>
  <c r="K402" i="20"/>
  <c r="K356" i="20"/>
  <c r="E458" i="20"/>
  <c r="H507" i="20"/>
  <c r="X438" i="20"/>
  <c r="G378" i="20"/>
  <c r="C447" i="20"/>
  <c r="R401" i="20"/>
  <c r="R402" i="20"/>
  <c r="R356" i="20"/>
  <c r="T153" i="20"/>
  <c r="T154" i="20"/>
  <c r="J482" i="20"/>
  <c r="I484" i="20"/>
  <c r="N158" i="20"/>
  <c r="L501" i="20"/>
  <c r="L503" i="20"/>
  <c r="M498" i="20"/>
  <c r="AB449" i="20"/>
  <c r="J124" i="20"/>
  <c r="U646" i="20"/>
  <c r="U570" i="20"/>
  <c r="U574" i="20"/>
  <c r="U572" i="20"/>
  <c r="U641" i="20"/>
  <c r="U575" i="20"/>
  <c r="U583" i="20"/>
  <c r="U585" i="20"/>
  <c r="U587" i="20"/>
  <c r="U591" i="20"/>
  <c r="U465" i="20"/>
  <c r="U391" i="20"/>
  <c r="U392" i="20"/>
  <c r="U510" i="20"/>
  <c r="U594" i="20"/>
  <c r="U566" i="20"/>
  <c r="U410" i="20"/>
  <c r="U411" i="20"/>
  <c r="U350" i="20"/>
  <c r="U354" i="20"/>
  <c r="U156" i="20"/>
  <c r="U157" i="20"/>
  <c r="U158" i="20"/>
  <c r="U159" i="20"/>
  <c r="G389" i="20"/>
  <c r="N451" i="20"/>
  <c r="M140" i="20"/>
  <c r="I458" i="20"/>
  <c r="I460" i="20"/>
  <c r="D284" i="20"/>
  <c r="D316" i="20"/>
  <c r="D409" i="20"/>
  <c r="E407" i="20"/>
  <c r="E409" i="20"/>
  <c r="F407" i="20"/>
  <c r="H401" i="20"/>
  <c r="H402" i="20"/>
  <c r="H356" i="20"/>
  <c r="H359" i="20"/>
  <c r="T599" i="20"/>
  <c r="R603" i="20"/>
  <c r="I373" i="20"/>
  <c r="H385" i="20"/>
  <c r="H389" i="20"/>
  <c r="H377" i="20"/>
  <c r="H378" i="20"/>
  <c r="F587" i="20"/>
  <c r="N123" i="20"/>
  <c r="N140" i="20"/>
  <c r="J434" i="20"/>
  <c r="J440" i="20"/>
  <c r="J453" i="20"/>
  <c r="W419" i="20"/>
  <c r="W422" i="20"/>
  <c r="D317" i="20"/>
  <c r="H593" i="20"/>
  <c r="H594" i="20"/>
  <c r="J469" i="20"/>
  <c r="T451" i="20"/>
  <c r="L551" i="20"/>
  <c r="M545" i="20"/>
  <c r="K591" i="20"/>
  <c r="K593" i="20"/>
  <c r="K594" i="20"/>
  <c r="O145" i="20"/>
  <c r="F391" i="20"/>
  <c r="F392" i="20"/>
  <c r="J529" i="20"/>
  <c r="K527" i="20"/>
  <c r="U445" i="20"/>
  <c r="U451" i="20"/>
  <c r="AD419" i="20"/>
  <c r="AD422" i="20"/>
  <c r="O146" i="20"/>
  <c r="I165" i="20"/>
  <c r="Z419" i="20"/>
  <c r="Z422" i="20"/>
  <c r="O438" i="20"/>
  <c r="F185" i="20"/>
  <c r="AA419" i="20"/>
  <c r="AA422" i="20"/>
  <c r="I419" i="20"/>
  <c r="I422" i="20"/>
  <c r="D622" i="20"/>
  <c r="D619" i="20"/>
  <c r="K507" i="20"/>
  <c r="M628" i="20"/>
  <c r="E596" i="14"/>
  <c r="F239" i="14"/>
  <c r="E671" i="14"/>
  <c r="E239" i="14"/>
  <c r="E672" i="14"/>
  <c r="Z461" i="14"/>
  <c r="E629" i="14"/>
  <c r="E631" i="14"/>
  <c r="Y461" i="14"/>
  <c r="U461" i="14"/>
  <c r="AA461" i="14"/>
  <c r="A746" i="14"/>
  <c r="A16" i="14"/>
  <c r="G434" i="14"/>
  <c r="H139" i="14"/>
  <c r="H599" i="14"/>
  <c r="F603" i="14"/>
  <c r="F676" i="14"/>
  <c r="F677" i="14"/>
  <c r="C670" i="14"/>
  <c r="E642" i="14"/>
  <c r="E242" i="14"/>
  <c r="F242" i="14"/>
  <c r="E294" i="14"/>
  <c r="E764" i="14"/>
  <c r="E149" i="14"/>
  <c r="F84" i="9"/>
  <c r="E206" i="14"/>
  <c r="E605" i="14"/>
  <c r="E674" i="14"/>
  <c r="E529" i="14"/>
  <c r="K384" i="14"/>
  <c r="H384" i="14"/>
  <c r="F152" i="14"/>
  <c r="E541" i="14"/>
  <c r="M436" i="14"/>
  <c r="M438" i="14"/>
  <c r="AD140" i="14"/>
  <c r="AD461" i="14"/>
  <c r="L135" i="14"/>
  <c r="F611" i="14"/>
  <c r="F615" i="14"/>
  <c r="F617" i="14"/>
  <c r="K445" i="14"/>
  <c r="K451" i="14"/>
  <c r="R384" i="14"/>
  <c r="O384" i="14"/>
  <c r="L384" i="14"/>
  <c r="G529" i="14"/>
  <c r="T384" i="14"/>
  <c r="T152" i="14"/>
  <c r="Y140" i="14"/>
  <c r="E384" i="14"/>
  <c r="Z152" i="14"/>
  <c r="M135" i="14"/>
  <c r="L449" i="14"/>
  <c r="G125" i="14"/>
  <c r="X461" i="14"/>
  <c r="E617" i="14"/>
  <c r="D479" i="14"/>
  <c r="D492" i="14"/>
  <c r="D494" i="14"/>
  <c r="D509" i="14"/>
  <c r="V461" i="14"/>
  <c r="I384" i="14"/>
  <c r="L134" i="14"/>
  <c r="E247" i="14"/>
  <c r="D179" i="14"/>
  <c r="D184" i="14"/>
  <c r="G438" i="14"/>
  <c r="F247" i="14"/>
  <c r="AC384" i="14"/>
  <c r="Z384" i="14"/>
  <c r="G384" i="14"/>
  <c r="F384" i="14"/>
  <c r="E291" i="14"/>
  <c r="E451" i="14"/>
  <c r="Q384" i="14"/>
  <c r="F153" i="14"/>
  <c r="E523" i="14"/>
  <c r="E525" i="14"/>
  <c r="W152" i="14"/>
  <c r="Z140" i="14"/>
  <c r="F434" i="14"/>
  <c r="F440" i="14"/>
  <c r="E484" i="14"/>
  <c r="AD384" i="14"/>
  <c r="U152" i="14"/>
  <c r="M126" i="14"/>
  <c r="Q449" i="14"/>
  <c r="F256" i="14"/>
  <c r="L438" i="14"/>
  <c r="H291" i="14"/>
  <c r="AB140" i="14"/>
  <c r="G291" i="14"/>
  <c r="AA140" i="14"/>
  <c r="M384" i="14"/>
  <c r="F291" i="14"/>
  <c r="C399" i="14"/>
  <c r="E501" i="14"/>
  <c r="E503" i="14"/>
  <c r="E440" i="14"/>
  <c r="E227" i="14"/>
  <c r="AA384" i="14"/>
  <c r="X152" i="14"/>
  <c r="G145" i="14"/>
  <c r="G152" i="14"/>
  <c r="H451" i="14"/>
  <c r="E373" i="14"/>
  <c r="F373" i="14"/>
  <c r="G373" i="14"/>
  <c r="G377" i="14"/>
  <c r="G378" i="14"/>
  <c r="E178" i="14"/>
  <c r="E179" i="14"/>
  <c r="E184" i="14"/>
  <c r="H153" i="14"/>
  <c r="AC140" i="14"/>
  <c r="S445" i="14"/>
  <c r="M139" i="14"/>
  <c r="M599" i="14"/>
  <c r="E477" i="14"/>
  <c r="W140" i="14"/>
  <c r="R139" i="14"/>
  <c r="R599" i="14"/>
  <c r="C398" i="14"/>
  <c r="Y384" i="14"/>
  <c r="C383" i="14"/>
  <c r="U140" i="14"/>
  <c r="E551" i="14"/>
  <c r="S384" i="14"/>
  <c r="D384" i="14"/>
  <c r="D385" i="14"/>
  <c r="D389" i="14"/>
  <c r="G581" i="14"/>
  <c r="E676" i="14"/>
  <c r="E677" i="14"/>
  <c r="G153" i="14"/>
  <c r="C432" i="14"/>
  <c r="I523" i="14"/>
  <c r="I525" i="14"/>
  <c r="E581" i="14"/>
  <c r="J384" i="14"/>
  <c r="J153" i="14"/>
  <c r="N384" i="14"/>
  <c r="Y153" i="14"/>
  <c r="R131" i="14"/>
  <c r="Q134" i="14"/>
  <c r="Q140" i="14"/>
  <c r="D401" i="14"/>
  <c r="D402" i="14"/>
  <c r="D356" i="14"/>
  <c r="D359" i="14"/>
  <c r="D212" i="14"/>
  <c r="D224" i="14"/>
  <c r="D170" i="14"/>
  <c r="G602" i="14"/>
  <c r="H602" i="14"/>
  <c r="I602" i="14"/>
  <c r="J602" i="14"/>
  <c r="K602" i="14"/>
  <c r="L602" i="14"/>
  <c r="M602" i="14"/>
  <c r="N602" i="14"/>
  <c r="O602" i="14"/>
  <c r="P602" i="14"/>
  <c r="Q602" i="14"/>
  <c r="R602" i="14"/>
  <c r="S602" i="14"/>
  <c r="T602" i="14"/>
  <c r="U602" i="14"/>
  <c r="V602" i="14"/>
  <c r="W602" i="14"/>
  <c r="X602" i="14"/>
  <c r="Y602" i="14"/>
  <c r="Z602" i="14"/>
  <c r="AA602" i="14"/>
  <c r="AB602" i="14"/>
  <c r="AC602" i="14"/>
  <c r="AD602" i="14"/>
  <c r="R132" i="14"/>
  <c r="Q135" i="14"/>
  <c r="F533" i="14"/>
  <c r="G531" i="14"/>
  <c r="D581" i="14"/>
  <c r="D587" i="14"/>
  <c r="D593" i="14"/>
  <c r="C579" i="14"/>
  <c r="F642" i="14"/>
  <c r="F320" i="14"/>
  <c r="F738" i="14"/>
  <c r="F648" i="14"/>
  <c r="F357" i="14"/>
  <c r="F697" i="14"/>
  <c r="E356" i="14"/>
  <c r="I119" i="14"/>
  <c r="J119" i="14"/>
  <c r="K119" i="14"/>
  <c r="H124" i="14"/>
  <c r="N126" i="14"/>
  <c r="N436" i="14"/>
  <c r="N438" i="14"/>
  <c r="I120" i="14"/>
  <c r="J120" i="14"/>
  <c r="K120" i="14"/>
  <c r="H125" i="14"/>
  <c r="M445" i="14"/>
  <c r="U449" i="14"/>
  <c r="V448" i="14"/>
  <c r="W448" i="14"/>
  <c r="I532" i="14"/>
  <c r="H123" i="14"/>
  <c r="H140" i="14"/>
  <c r="I118" i="14"/>
  <c r="J118" i="14"/>
  <c r="K118" i="14"/>
  <c r="A744" i="14"/>
  <c r="A14" i="14"/>
  <c r="A30" i="9"/>
  <c r="E140" i="14"/>
  <c r="E697" i="14"/>
  <c r="N445" i="14"/>
  <c r="L445" i="14"/>
  <c r="F476" i="14"/>
  <c r="G476" i="14"/>
  <c r="H476" i="14"/>
  <c r="I476" i="14"/>
  <c r="J476" i="14"/>
  <c r="K476" i="14"/>
  <c r="L476" i="14"/>
  <c r="M476" i="14"/>
  <c r="N476" i="14"/>
  <c r="O476" i="14"/>
  <c r="P476" i="14"/>
  <c r="Q476" i="14"/>
  <c r="R476" i="14"/>
  <c r="S476" i="14"/>
  <c r="T476" i="14"/>
  <c r="U476" i="14"/>
  <c r="V476" i="14"/>
  <c r="W476" i="14"/>
  <c r="X476" i="14"/>
  <c r="Y476" i="14"/>
  <c r="Z476" i="14"/>
  <c r="AA476" i="14"/>
  <c r="AB476" i="14"/>
  <c r="AC476" i="14"/>
  <c r="AD476" i="14"/>
  <c r="W384" i="14"/>
  <c r="P384" i="14"/>
  <c r="H144" i="14"/>
  <c r="I144" i="14"/>
  <c r="J144" i="14"/>
  <c r="K144" i="14"/>
  <c r="L144" i="14"/>
  <c r="L146" i="14"/>
  <c r="R449" i="14"/>
  <c r="C376" i="14"/>
  <c r="F559" i="14"/>
  <c r="X140" i="14"/>
  <c r="O445" i="14"/>
  <c r="E648" i="14"/>
  <c r="D453" i="14"/>
  <c r="D458" i="14"/>
  <c r="D460" i="14"/>
  <c r="C396" i="14"/>
  <c r="R445" i="14"/>
  <c r="AC461" i="14"/>
  <c r="D535" i="14"/>
  <c r="F628" i="14"/>
  <c r="E357" i="14"/>
  <c r="C382" i="14"/>
  <c r="J451" i="14"/>
  <c r="I519" i="14"/>
  <c r="G140" i="14"/>
  <c r="V140" i="14"/>
  <c r="E559" i="14"/>
  <c r="G555" i="14"/>
  <c r="H555" i="14"/>
  <c r="H559" i="14"/>
  <c r="E738" i="14"/>
  <c r="E585" i="14"/>
  <c r="E266" i="14"/>
  <c r="X384" i="14"/>
  <c r="U384" i="14"/>
  <c r="E166" i="14"/>
  <c r="F140" i="14"/>
  <c r="E599" i="14"/>
  <c r="F546" i="14"/>
  <c r="G546" i="14"/>
  <c r="H546" i="14"/>
  <c r="I546" i="14"/>
  <c r="J546" i="14"/>
  <c r="K546" i="14"/>
  <c r="L546" i="14"/>
  <c r="M546" i="14"/>
  <c r="N546" i="14"/>
  <c r="O546" i="14"/>
  <c r="P546" i="14"/>
  <c r="Q546" i="14"/>
  <c r="R546" i="14"/>
  <c r="S546" i="14"/>
  <c r="T546" i="14"/>
  <c r="U546" i="14"/>
  <c r="V546" i="14"/>
  <c r="W546" i="14"/>
  <c r="X546" i="14"/>
  <c r="Y546" i="14"/>
  <c r="Z546" i="14"/>
  <c r="AA546" i="14"/>
  <c r="AB546" i="14"/>
  <c r="AC546" i="14"/>
  <c r="AD546" i="14"/>
  <c r="E320" i="14"/>
  <c r="C138" i="14"/>
  <c r="E533" i="14"/>
  <c r="D599" i="14"/>
  <c r="Q445" i="14"/>
  <c r="F501" i="14"/>
  <c r="F503" i="14"/>
  <c r="V384" i="14"/>
  <c r="T445" i="14"/>
  <c r="Q438" i="14"/>
  <c r="G482" i="14"/>
  <c r="H482" i="14"/>
  <c r="I482" i="14"/>
  <c r="J482" i="14"/>
  <c r="K482" i="14"/>
  <c r="L482" i="14"/>
  <c r="M482" i="14"/>
  <c r="N482" i="14"/>
  <c r="O482" i="14"/>
  <c r="P482" i="14"/>
  <c r="Q482" i="14"/>
  <c r="R482" i="14"/>
  <c r="C400" i="14"/>
  <c r="V152" i="14"/>
  <c r="A747" i="14"/>
  <c r="A17" i="14"/>
  <c r="C443" i="14"/>
  <c r="W461" i="14"/>
  <c r="K438" i="14"/>
  <c r="H528" i="14"/>
  <c r="I528" i="14"/>
  <c r="J528" i="14"/>
  <c r="K528" i="14"/>
  <c r="L528" i="14"/>
  <c r="M528" i="14"/>
  <c r="N528" i="14"/>
  <c r="O528" i="14"/>
  <c r="P528" i="14"/>
  <c r="Q528" i="14"/>
  <c r="R528" i="14"/>
  <c r="S528" i="14"/>
  <c r="T528" i="14"/>
  <c r="U528" i="14"/>
  <c r="V528" i="14"/>
  <c r="W528" i="14"/>
  <c r="X528" i="14"/>
  <c r="Y528" i="14"/>
  <c r="Z528" i="14"/>
  <c r="AA528" i="14"/>
  <c r="AB528" i="14"/>
  <c r="AC528" i="14"/>
  <c r="AD528" i="14"/>
  <c r="F519" i="14"/>
  <c r="S152" i="14"/>
  <c r="E519" i="14"/>
  <c r="G523" i="14"/>
  <c r="G525" i="14"/>
  <c r="F483" i="14"/>
  <c r="F484" i="14"/>
  <c r="D290" i="14"/>
  <c r="D292" i="14"/>
  <c r="D302" i="14"/>
  <c r="E238" i="14"/>
  <c r="C672" i="14"/>
  <c r="E241" i="14"/>
  <c r="E102" i="9"/>
  <c r="E235" i="14"/>
  <c r="F96" i="9"/>
  <c r="E236" i="14"/>
  <c r="C674" i="14"/>
  <c r="F36" i="9"/>
  <c r="F47" i="9"/>
  <c r="F98" i="9"/>
  <c r="E94" i="14"/>
  <c r="E223" i="14"/>
  <c r="G62" i="9"/>
  <c r="E426" i="14"/>
  <c r="E113" i="14"/>
  <c r="E512" i="14"/>
  <c r="E332" i="14"/>
  <c r="F90" i="9"/>
  <c r="D678" i="14"/>
  <c r="E187" i="14"/>
  <c r="E463" i="14"/>
  <c r="E741" i="14"/>
  <c r="F223" i="14"/>
  <c r="F672" i="14"/>
  <c r="G57" i="9"/>
  <c r="F233" i="14"/>
  <c r="E215" i="14"/>
  <c r="F95" i="14"/>
  <c r="E732" i="14"/>
  <c r="E693" i="14"/>
  <c r="G37" i="9"/>
  <c r="F83" i="9"/>
  <c r="F93" i="9"/>
  <c r="E243" i="14"/>
  <c r="F101" i="9"/>
  <c r="E214" i="14"/>
  <c r="E755" i="14"/>
  <c r="A615" i="14"/>
  <c r="A629" i="14"/>
  <c r="A766" i="14"/>
  <c r="A745" i="14"/>
  <c r="A15" i="14"/>
  <c r="D140" i="14"/>
  <c r="A646" i="14"/>
  <c r="G61" i="9"/>
  <c r="F43" i="9"/>
  <c r="F63" i="9"/>
  <c r="G60" i="9"/>
  <c r="G81" i="9"/>
  <c r="G59" i="9"/>
  <c r="F80" i="9"/>
  <c r="U445" i="14"/>
  <c r="V444" i="14"/>
  <c r="T437" i="14"/>
  <c r="U437" i="14"/>
  <c r="S438" i="14"/>
  <c r="R438" i="14"/>
  <c r="R469" i="14"/>
  <c r="P445" i="14"/>
  <c r="H581" i="14"/>
  <c r="I580" i="14"/>
  <c r="J580" i="14"/>
  <c r="K580" i="14"/>
  <c r="L580" i="14"/>
  <c r="H614" i="14"/>
  <c r="E253" i="14"/>
  <c r="F67" i="9"/>
  <c r="J433" i="14"/>
  <c r="K433" i="14"/>
  <c r="I434" i="14"/>
  <c r="F215" i="14"/>
  <c r="G44" i="9"/>
  <c r="I451" i="14"/>
  <c r="K517" i="14"/>
  <c r="J519" i="14"/>
  <c r="M449" i="14"/>
  <c r="J521" i="14"/>
  <c r="I527" i="14"/>
  <c r="F87" i="9"/>
  <c r="E683" i="14"/>
  <c r="G56" i="9"/>
  <c r="H519" i="14"/>
  <c r="H434" i="14"/>
  <c r="G498" i="14"/>
  <c r="H545" i="14"/>
  <c r="G584" i="14"/>
  <c r="H584" i="14"/>
  <c r="I584" i="14"/>
  <c r="J584" i="14"/>
  <c r="K584" i="14"/>
  <c r="L584" i="14"/>
  <c r="M584" i="14"/>
  <c r="N584" i="14"/>
  <c r="O584" i="14"/>
  <c r="P584" i="14"/>
  <c r="Q584" i="14"/>
  <c r="R584" i="14"/>
  <c r="S584" i="14"/>
  <c r="T584" i="14"/>
  <c r="U584" i="14"/>
  <c r="V584" i="14"/>
  <c r="W584" i="14"/>
  <c r="X584" i="14"/>
  <c r="Y584" i="14"/>
  <c r="Z584" i="14"/>
  <c r="AA584" i="14"/>
  <c r="AB584" i="14"/>
  <c r="AC584" i="14"/>
  <c r="AD584" i="14"/>
  <c r="E473" i="14"/>
  <c r="F472" i="14"/>
  <c r="G54" i="9"/>
  <c r="H438" i="14"/>
  <c r="H523" i="14"/>
  <c r="H525" i="14"/>
  <c r="F97" i="9"/>
  <c r="E727" i="14"/>
  <c r="F266" i="14"/>
  <c r="G571" i="14"/>
  <c r="H571" i="14"/>
  <c r="I571" i="14"/>
  <c r="J571" i="14"/>
  <c r="K571" i="14"/>
  <c r="L571" i="14"/>
  <c r="M571" i="14"/>
  <c r="N571" i="14"/>
  <c r="O571" i="14"/>
  <c r="P571" i="14"/>
  <c r="Q571" i="14"/>
  <c r="R571" i="14"/>
  <c r="S571" i="14"/>
  <c r="T571" i="14"/>
  <c r="U571" i="14"/>
  <c r="V571" i="14"/>
  <c r="W571" i="14"/>
  <c r="X571" i="14"/>
  <c r="Y571" i="14"/>
  <c r="Z571" i="14"/>
  <c r="AA571" i="14"/>
  <c r="AB571" i="14"/>
  <c r="AC571" i="14"/>
  <c r="AD571" i="14"/>
  <c r="F523" i="14"/>
  <c r="F525" i="14"/>
  <c r="F581" i="14"/>
  <c r="F78" i="9"/>
  <c r="E669" i="14"/>
  <c r="F45" i="9"/>
  <c r="E216" i="14"/>
  <c r="D219" i="14"/>
  <c r="D220" i="14"/>
  <c r="G451" i="14"/>
  <c r="F79" i="9"/>
  <c r="E670" i="14"/>
  <c r="J471" i="14"/>
  <c r="H475" i="14"/>
  <c r="F77" i="9"/>
  <c r="E668" i="14"/>
  <c r="F237" i="14"/>
  <c r="D411" i="14"/>
  <c r="G539" i="14"/>
  <c r="F529" i="14"/>
  <c r="G519" i="14"/>
  <c r="F451" i="14"/>
  <c r="E603" i="14"/>
  <c r="F217" i="14"/>
  <c r="E254" i="14"/>
  <c r="E289" i="14"/>
  <c r="E233" i="14"/>
  <c r="E217" i="14"/>
  <c r="D377" i="14"/>
  <c r="E234" i="14"/>
  <c r="C397" i="14"/>
  <c r="F71" i="9"/>
  <c r="F254" i="14"/>
  <c r="G349" i="14"/>
  <c r="H349" i="14"/>
  <c r="I349" i="14"/>
  <c r="J349" i="14"/>
  <c r="K349" i="14"/>
  <c r="L349" i="14"/>
  <c r="M349" i="14"/>
  <c r="N349" i="14"/>
  <c r="O349" i="14"/>
  <c r="P349" i="14"/>
  <c r="Q349" i="14"/>
  <c r="R349" i="14"/>
  <c r="S349" i="14"/>
  <c r="T349" i="14"/>
  <c r="U349" i="14"/>
  <c r="V349" i="14"/>
  <c r="W349" i="14"/>
  <c r="X349" i="14"/>
  <c r="Y349" i="14"/>
  <c r="Z349" i="14"/>
  <c r="AA349" i="14"/>
  <c r="AB349" i="14"/>
  <c r="AC349" i="14"/>
  <c r="AD349" i="14"/>
  <c r="E402" i="14"/>
  <c r="AB384" i="14"/>
  <c r="C346" i="14"/>
  <c r="AD153" i="14"/>
  <c r="AC153" i="14"/>
  <c r="AB153" i="14"/>
  <c r="AA153" i="14"/>
  <c r="N130" i="14"/>
  <c r="Z153" i="14"/>
  <c r="X153" i="14"/>
  <c r="R152" i="14"/>
  <c r="Y152" i="14"/>
  <c r="S130" i="14"/>
  <c r="AC152" i="14"/>
  <c r="AD152" i="14"/>
  <c r="AA152" i="14"/>
  <c r="AB152" i="14"/>
  <c r="W153" i="14"/>
  <c r="V153" i="14"/>
  <c r="D167" i="14"/>
  <c r="D168" i="14"/>
  <c r="O117" i="14"/>
  <c r="I117" i="14"/>
  <c r="I153" i="14"/>
  <c r="G223" i="14"/>
  <c r="G223" i="21"/>
  <c r="G223" i="20"/>
  <c r="G672" i="21"/>
  <c r="G672" i="20"/>
  <c r="F727" i="21"/>
  <c r="F727" i="20"/>
  <c r="E255" i="20"/>
  <c r="G93" i="9"/>
  <c r="F693" i="21"/>
  <c r="F693" i="20"/>
  <c r="G242" i="14"/>
  <c r="G242" i="21"/>
  <c r="G242" i="20"/>
  <c r="E756" i="21"/>
  <c r="E756" i="20"/>
  <c r="F240" i="21"/>
  <c r="F240" i="20"/>
  <c r="F240" i="14"/>
  <c r="E255" i="21"/>
  <c r="F214" i="21"/>
  <c r="F214" i="20"/>
  <c r="G58" i="9"/>
  <c r="F238" i="21"/>
  <c r="F238" i="20"/>
  <c r="G241" i="21"/>
  <c r="G241" i="20"/>
  <c r="F674" i="21"/>
  <c r="F674" i="20"/>
  <c r="G84" i="9"/>
  <c r="F675" i="21"/>
  <c r="F675" i="20"/>
  <c r="F239" i="21"/>
  <c r="F239" i="20"/>
  <c r="F672" i="21"/>
  <c r="F672" i="20"/>
  <c r="F764" i="21"/>
  <c r="F741" i="21"/>
  <c r="F463" i="21"/>
  <c r="F596" i="21"/>
  <c r="F657" i="21"/>
  <c r="F605" i="21"/>
  <c r="F426" i="21"/>
  <c r="F332" i="21"/>
  <c r="F294" i="21"/>
  <c r="F113" i="21"/>
  <c r="F512" i="21"/>
  <c r="F187" i="21"/>
  <c r="F149" i="21"/>
  <c r="F741" i="20"/>
  <c r="F596" i="20"/>
  <c r="F206" i="21"/>
  <c r="F764" i="20"/>
  <c r="F657" i="20"/>
  <c r="F332" i="20"/>
  <c r="F605" i="20"/>
  <c r="F463" i="20"/>
  <c r="F94" i="21"/>
  <c r="F426" i="20"/>
  <c r="F512" i="20"/>
  <c r="F206" i="20"/>
  <c r="F294" i="20"/>
  <c r="F187" i="20"/>
  <c r="F94" i="20"/>
  <c r="F149" i="20"/>
  <c r="F113" i="20"/>
  <c r="G90" i="9"/>
  <c r="F688" i="21"/>
  <c r="F688" i="20"/>
  <c r="F755" i="21"/>
  <c r="F755" i="20"/>
  <c r="F726" i="21"/>
  <c r="F726" i="20"/>
  <c r="F235" i="21"/>
  <c r="F235" i="20"/>
  <c r="G55" i="9"/>
  <c r="G235" i="14"/>
  <c r="G234" i="21"/>
  <c r="G234" i="20"/>
  <c r="F253" i="21"/>
  <c r="F254" i="21"/>
  <c r="F255" i="21"/>
  <c r="F253" i="20"/>
  <c r="F254" i="20"/>
  <c r="F255" i="20"/>
  <c r="F257" i="20"/>
  <c r="G95" i="21"/>
  <c r="G95" i="20"/>
  <c r="F732" i="14"/>
  <c r="F732" i="21"/>
  <c r="F732" i="20"/>
  <c r="E219" i="20"/>
  <c r="E220" i="20"/>
  <c r="E221" i="20"/>
  <c r="E226" i="20"/>
  <c r="F242" i="21"/>
  <c r="F242" i="20"/>
  <c r="F670" i="21"/>
  <c r="F670" i="20"/>
  <c r="G215" i="21"/>
  <c r="G215" i="20"/>
  <c r="F216" i="21"/>
  <c r="F216" i="20"/>
  <c r="F683" i="21"/>
  <c r="F683" i="20"/>
  <c r="E684" i="21"/>
  <c r="F289" i="21"/>
  <c r="F290" i="21"/>
  <c r="F292" i="21"/>
  <c r="F302" i="21"/>
  <c r="F289" i="20"/>
  <c r="F290" i="20"/>
  <c r="F292" i="20"/>
  <c r="F302" i="20"/>
  <c r="F238" i="14"/>
  <c r="F669" i="21"/>
  <c r="F669" i="20"/>
  <c r="F671" i="21"/>
  <c r="F671" i="20"/>
  <c r="F218" i="21"/>
  <c r="F218" i="20"/>
  <c r="E219" i="21"/>
  <c r="E220" i="21"/>
  <c r="E221" i="21"/>
  <c r="E226" i="21"/>
  <c r="F668" i="21"/>
  <c r="F668" i="20"/>
  <c r="F678" i="20"/>
  <c r="G240" i="20"/>
  <c r="G240" i="21"/>
  <c r="G236" i="21"/>
  <c r="G236" i="20"/>
  <c r="F667" i="20"/>
  <c r="F667" i="21"/>
  <c r="G239" i="21"/>
  <c r="G239" i="20"/>
  <c r="F235" i="14"/>
  <c r="F215" i="21"/>
  <c r="F215" i="20"/>
  <c r="F241" i="14"/>
  <c r="F241" i="21"/>
  <c r="F241" i="20"/>
  <c r="G82" i="9"/>
  <c r="F673" i="21"/>
  <c r="F673" i="20"/>
  <c r="F673" i="14"/>
  <c r="F233" i="20"/>
  <c r="F233" i="21"/>
  <c r="E269" i="20"/>
  <c r="E271" i="20"/>
  <c r="E248" i="20"/>
  <c r="E283" i="20"/>
  <c r="E315" i="20"/>
  <c r="E248" i="21"/>
  <c r="E269" i="21"/>
  <c r="E271" i="21"/>
  <c r="G53" i="9"/>
  <c r="F223" i="21"/>
  <c r="F224" i="21"/>
  <c r="F223" i="20"/>
  <c r="F224" i="20"/>
  <c r="G46" i="9"/>
  <c r="F217" i="21"/>
  <c r="F217" i="20"/>
  <c r="F236" i="21"/>
  <c r="F236" i="20"/>
  <c r="F234" i="21"/>
  <c r="F234" i="20"/>
  <c r="F245" i="20"/>
  <c r="F246" i="20"/>
  <c r="F269" i="20"/>
  <c r="F271" i="20"/>
  <c r="F243" i="21"/>
  <c r="F243" i="20"/>
  <c r="G237" i="21"/>
  <c r="G237" i="20"/>
  <c r="E678" i="21"/>
  <c r="F237" i="21"/>
  <c r="F237" i="20"/>
  <c r="G68" i="9"/>
  <c r="H359" i="21"/>
  <c r="K100" i="21"/>
  <c r="J676" i="21"/>
  <c r="J677" i="21"/>
  <c r="J227" i="21"/>
  <c r="O101" i="21"/>
  <c r="N247" i="21"/>
  <c r="M103" i="21"/>
  <c r="L291" i="21"/>
  <c r="J320" i="21"/>
  <c r="K98" i="21"/>
  <c r="J642" i="21"/>
  <c r="J357" i="21"/>
  <c r="J648" i="21"/>
  <c r="J738" i="21"/>
  <c r="J697" i="21"/>
  <c r="L108" i="21"/>
  <c r="K274" i="21"/>
  <c r="M256" i="21"/>
  <c r="N102" i="21"/>
  <c r="K270" i="21"/>
  <c r="L107" i="21"/>
  <c r="L266" i="21"/>
  <c r="M106" i="21"/>
  <c r="M247" i="20"/>
  <c r="N101" i="20"/>
  <c r="L256" i="20"/>
  <c r="M102" i="20"/>
  <c r="L103" i="20"/>
  <c r="K291" i="20"/>
  <c r="M676" i="20"/>
  <c r="M677" i="20"/>
  <c r="N100" i="20"/>
  <c r="M227" i="20"/>
  <c r="F391" i="21"/>
  <c r="K461" i="21"/>
  <c r="I167" i="21"/>
  <c r="I212" i="21"/>
  <c r="I168" i="21"/>
  <c r="H191" i="21"/>
  <c r="I172" i="21"/>
  <c r="I183" i="21"/>
  <c r="H509" i="21"/>
  <c r="T144" i="21"/>
  <c r="T146" i="21"/>
  <c r="U153" i="21"/>
  <c r="S146" i="21"/>
  <c r="T153" i="21"/>
  <c r="T154" i="21"/>
  <c r="G251" i="21"/>
  <c r="F402" i="21"/>
  <c r="N572" i="21"/>
  <c r="N583" i="21"/>
  <c r="N585" i="21"/>
  <c r="N587" i="21"/>
  <c r="N566" i="21"/>
  <c r="N465" i="21"/>
  <c r="N570" i="21"/>
  <c r="N350" i="21"/>
  <c r="N354" i="21"/>
  <c r="N157" i="21"/>
  <c r="N159" i="21"/>
  <c r="N158" i="21"/>
  <c r="P119" i="21"/>
  <c r="P124" i="21"/>
  <c r="O124" i="21"/>
  <c r="D422" i="21"/>
  <c r="I287" i="21"/>
  <c r="H200" i="21"/>
  <c r="I179" i="21"/>
  <c r="I184" i="21"/>
  <c r="G184" i="21"/>
  <c r="H654" i="21"/>
  <c r="H181" i="21"/>
  <c r="H404" i="21"/>
  <c r="H408" i="21"/>
  <c r="H419" i="21"/>
  <c r="H422" i="21"/>
  <c r="D259" i="21"/>
  <c r="L475" i="21"/>
  <c r="K477" i="21"/>
  <c r="G224" i="21"/>
  <c r="F359" i="21"/>
  <c r="D687" i="21"/>
  <c r="L628" i="21"/>
  <c r="O531" i="21"/>
  <c r="N533" i="21"/>
  <c r="J539" i="21"/>
  <c r="I541" i="21"/>
  <c r="D408" i="21"/>
  <c r="H251" i="21"/>
  <c r="S153" i="21"/>
  <c r="S154" i="21"/>
  <c r="G192" i="21"/>
  <c r="F192" i="21"/>
  <c r="L461" i="21"/>
  <c r="I401" i="21"/>
  <c r="I402" i="21"/>
  <c r="I356" i="21"/>
  <c r="I359" i="21"/>
  <c r="E664" i="21"/>
  <c r="G172" i="21"/>
  <c r="D652" i="21"/>
  <c r="J498" i="21"/>
  <c r="I501" i="21"/>
  <c r="I503" i="21"/>
  <c r="L551" i="21"/>
  <c r="M545" i="21"/>
  <c r="G201" i="21"/>
  <c r="F201" i="21"/>
  <c r="R451" i="21"/>
  <c r="I373" i="21"/>
  <c r="H377" i="21"/>
  <c r="H378" i="21"/>
  <c r="H385" i="21"/>
  <c r="H389" i="21"/>
  <c r="G231" i="21"/>
  <c r="J615" i="21"/>
  <c r="J617" i="21"/>
  <c r="K611" i="21"/>
  <c r="J629" i="21"/>
  <c r="J631" i="21"/>
  <c r="G766" i="21"/>
  <c r="G745" i="21"/>
  <c r="L177" i="21"/>
  <c r="L559" i="21"/>
  <c r="M555" i="21"/>
  <c r="I484" i="21"/>
  <c r="J482" i="21"/>
  <c r="H192" i="21"/>
  <c r="S445" i="21"/>
  <c r="S451" i="21"/>
  <c r="T444" i="21"/>
  <c r="P121" i="21"/>
  <c r="P126" i="21"/>
  <c r="O126" i="21"/>
  <c r="C126" i="21"/>
  <c r="G404" i="21"/>
  <c r="G408" i="21"/>
  <c r="G419" i="21"/>
  <c r="G422" i="21"/>
  <c r="H593" i="21"/>
  <c r="H594" i="21"/>
  <c r="C599" i="21"/>
  <c r="AB448" i="21"/>
  <c r="AA449" i="21"/>
  <c r="P123" i="21"/>
  <c r="P140" i="21"/>
  <c r="O123" i="21"/>
  <c r="K540" i="21"/>
  <c r="L483" i="21"/>
  <c r="G510" i="21"/>
  <c r="K178" i="21"/>
  <c r="H231" i="21"/>
  <c r="I473" i="21"/>
  <c r="I479" i="21"/>
  <c r="I492" i="21"/>
  <c r="J471" i="21"/>
  <c r="D325" i="21"/>
  <c r="K401" i="21"/>
  <c r="K402" i="21"/>
  <c r="K356" i="21"/>
  <c r="I535" i="21"/>
  <c r="E636" i="21"/>
  <c r="E633" i="21"/>
  <c r="E638" i="21"/>
  <c r="E640" i="21"/>
  <c r="H171" i="21"/>
  <c r="R153" i="21"/>
  <c r="R154" i="21"/>
  <c r="F510" i="21"/>
  <c r="O614" i="21"/>
  <c r="C121" i="21"/>
  <c r="C132" i="21"/>
  <c r="C144" i="21"/>
  <c r="C119" i="21"/>
  <c r="Q154" i="21"/>
  <c r="D636" i="21"/>
  <c r="D633" i="21"/>
  <c r="J529" i="21"/>
  <c r="J535" i="21"/>
  <c r="K527" i="21"/>
  <c r="W437" i="21"/>
  <c r="V438" i="21"/>
  <c r="L523" i="21"/>
  <c r="L525" i="21"/>
  <c r="M521" i="21"/>
  <c r="D326" i="21"/>
  <c r="M517" i="21"/>
  <c r="L519" i="21"/>
  <c r="L419" i="21"/>
  <c r="L422" i="21"/>
  <c r="C6" i="21"/>
  <c r="C447" i="21"/>
  <c r="P152" i="21"/>
  <c r="P154" i="21"/>
  <c r="H201" i="21"/>
  <c r="O153" i="21"/>
  <c r="O154" i="21"/>
  <c r="M458" i="21"/>
  <c r="M460" i="21"/>
  <c r="C436" i="21"/>
  <c r="M469" i="21"/>
  <c r="O451" i="21"/>
  <c r="K165" i="21"/>
  <c r="I507" i="21"/>
  <c r="I494" i="21"/>
  <c r="I509" i="21"/>
  <c r="M566" i="21"/>
  <c r="M572" i="21"/>
  <c r="M583" i="21"/>
  <c r="M585" i="21"/>
  <c r="M587" i="21"/>
  <c r="M593" i="21"/>
  <c r="M570" i="21"/>
  <c r="M465" i="21"/>
  <c r="M591" i="21"/>
  <c r="M594" i="21"/>
  <c r="M350" i="21"/>
  <c r="M354" i="21"/>
  <c r="M159" i="21"/>
  <c r="M158" i="21"/>
  <c r="M157" i="21"/>
  <c r="L591" i="21"/>
  <c r="L593" i="21"/>
  <c r="L594" i="21"/>
  <c r="D710" i="21"/>
  <c r="G654" i="21"/>
  <c r="G181" i="21"/>
  <c r="P120" i="21"/>
  <c r="P125" i="21"/>
  <c r="O125" i="21"/>
  <c r="D624" i="21"/>
  <c r="N434" i="21"/>
  <c r="O433" i="21"/>
  <c r="J440" i="21"/>
  <c r="P599" i="21"/>
  <c r="N603" i="21"/>
  <c r="C603" i="21"/>
  <c r="H766" i="21"/>
  <c r="H745" i="21"/>
  <c r="K593" i="21"/>
  <c r="K594" i="21"/>
  <c r="G587" i="21"/>
  <c r="M593" i="20"/>
  <c r="M594" i="20"/>
  <c r="I404" i="20"/>
  <c r="I408" i="20"/>
  <c r="H509" i="20"/>
  <c r="H510" i="20"/>
  <c r="C436" i="20"/>
  <c r="J270" i="20"/>
  <c r="K107" i="20"/>
  <c r="K266" i="20"/>
  <c r="L106" i="20"/>
  <c r="L274" i="20"/>
  <c r="M108" i="20"/>
  <c r="K642" i="20"/>
  <c r="K320" i="20"/>
  <c r="K738" i="20"/>
  <c r="K648" i="20"/>
  <c r="L98" i="20"/>
  <c r="K357" i="20"/>
  <c r="K359" i="20"/>
  <c r="K697" i="20"/>
  <c r="G287" i="20"/>
  <c r="F200" i="20"/>
  <c r="G179" i="20"/>
  <c r="G200" i="20"/>
  <c r="I461" i="20"/>
  <c r="F248" i="20"/>
  <c r="D325" i="20"/>
  <c r="AD449" i="20"/>
  <c r="AC449" i="20"/>
  <c r="O517" i="20"/>
  <c r="N519" i="20"/>
  <c r="J507" i="20"/>
  <c r="H251" i="20"/>
  <c r="H654" i="20"/>
  <c r="H181" i="20"/>
  <c r="J458" i="20"/>
  <c r="J460" i="20"/>
  <c r="H766" i="20"/>
  <c r="H745" i="20"/>
  <c r="U593" i="20"/>
  <c r="M501" i="20"/>
  <c r="M503" i="20"/>
  <c r="N498" i="20"/>
  <c r="E460" i="20"/>
  <c r="I533" i="20"/>
  <c r="I535" i="20"/>
  <c r="I574" i="20"/>
  <c r="I575" i="20"/>
  <c r="J531" i="20"/>
  <c r="J401" i="20"/>
  <c r="J402" i="20"/>
  <c r="J356" i="20"/>
  <c r="J359" i="20"/>
  <c r="D318" i="20"/>
  <c r="D324" i="20"/>
  <c r="H172" i="20"/>
  <c r="H183" i="20"/>
  <c r="P125" i="20"/>
  <c r="O125" i="20"/>
  <c r="E324" i="20"/>
  <c r="E687" i="20"/>
  <c r="E689" i="20"/>
  <c r="Q591" i="20"/>
  <c r="Q572" i="20"/>
  <c r="Q566" i="20"/>
  <c r="Q583" i="20"/>
  <c r="Q585" i="20"/>
  <c r="Q587" i="20"/>
  <c r="Q593" i="20"/>
  <c r="Q594" i="20"/>
  <c r="Q570" i="20"/>
  <c r="Q465" i="20"/>
  <c r="Q350" i="20"/>
  <c r="Q354" i="20"/>
  <c r="Q159" i="20"/>
  <c r="Q157" i="20"/>
  <c r="Q158" i="20"/>
  <c r="G212" i="20"/>
  <c r="F191" i="20"/>
  <c r="G168" i="20"/>
  <c r="G167" i="20"/>
  <c r="G171" i="20"/>
  <c r="G172" i="20"/>
  <c r="J165" i="20"/>
  <c r="K434" i="20"/>
  <c r="K440" i="20"/>
  <c r="H404" i="20"/>
  <c r="H408" i="20"/>
  <c r="H419" i="20"/>
  <c r="H422" i="20"/>
  <c r="E296" i="20"/>
  <c r="E195" i="20"/>
  <c r="J475" i="20"/>
  <c r="I477" i="20"/>
  <c r="I479" i="20"/>
  <c r="I492" i="20"/>
  <c r="I494" i="20"/>
  <c r="I509" i="20"/>
  <c r="I510" i="20"/>
  <c r="F593" i="20"/>
  <c r="P599" i="20"/>
  <c r="C139" i="20"/>
  <c r="V445" i="20"/>
  <c r="V451" i="20"/>
  <c r="D326" i="20"/>
  <c r="T570" i="20"/>
  <c r="T572" i="20"/>
  <c r="T583" i="20"/>
  <c r="T585" i="20"/>
  <c r="T587" i="20"/>
  <c r="T566" i="20"/>
  <c r="T591" i="20"/>
  <c r="T350" i="20"/>
  <c r="T354" i="20"/>
  <c r="T465" i="20"/>
  <c r="T159" i="20"/>
  <c r="T157" i="20"/>
  <c r="T158" i="20"/>
  <c r="S591" i="20"/>
  <c r="S593" i="20"/>
  <c r="S594" i="20"/>
  <c r="D259" i="20"/>
  <c r="D624" i="20"/>
  <c r="G354" i="20"/>
  <c r="G388" i="20"/>
  <c r="G390" i="20"/>
  <c r="U401" i="20"/>
  <c r="U402" i="20"/>
  <c r="U356" i="20"/>
  <c r="K419" i="20"/>
  <c r="K422" i="20"/>
  <c r="L507" i="20"/>
  <c r="N419" i="20"/>
  <c r="N422" i="20"/>
  <c r="N628" i="20"/>
  <c r="K540" i="20"/>
  <c r="L483" i="20"/>
  <c r="K482" i="20"/>
  <c r="J484" i="20"/>
  <c r="Y438" i="20"/>
  <c r="D636" i="20"/>
  <c r="D633" i="20"/>
  <c r="H458" i="20"/>
  <c r="H460" i="20"/>
  <c r="L593" i="20"/>
  <c r="L594" i="20"/>
  <c r="P153" i="20"/>
  <c r="O153" i="20"/>
  <c r="P152" i="20"/>
  <c r="O152" i="20"/>
  <c r="K469" i="20"/>
  <c r="P123" i="20"/>
  <c r="P140" i="20"/>
  <c r="O123" i="20"/>
  <c r="O140" i="20"/>
  <c r="C140" i="20"/>
  <c r="E303" i="20"/>
  <c r="E301" i="20"/>
  <c r="E204" i="20"/>
  <c r="C153" i="20"/>
  <c r="C120" i="20"/>
  <c r="M401" i="20"/>
  <c r="M402" i="20"/>
  <c r="M356" i="20"/>
  <c r="S419" i="20"/>
  <c r="S422" i="20"/>
  <c r="M611" i="20"/>
  <c r="L615" i="20"/>
  <c r="L629" i="20"/>
  <c r="L631" i="20"/>
  <c r="J541" i="20"/>
  <c r="K539" i="20"/>
  <c r="G191" i="20"/>
  <c r="G507" i="20"/>
  <c r="G494" i="20"/>
  <c r="M507" i="20"/>
  <c r="L401" i="20"/>
  <c r="L402" i="20"/>
  <c r="L356" i="20"/>
  <c r="G585" i="20"/>
  <c r="K124" i="20"/>
  <c r="K157" i="20"/>
  <c r="F359" i="20"/>
  <c r="J593" i="20"/>
  <c r="J594" i="20"/>
  <c r="F510" i="20"/>
  <c r="J473" i="20"/>
  <c r="K471" i="20"/>
  <c r="H231" i="20"/>
  <c r="P126" i="20"/>
  <c r="O126" i="20"/>
  <c r="E710" i="20"/>
  <c r="J177" i="20"/>
  <c r="I178" i="20"/>
  <c r="I179" i="20"/>
  <c r="I184" i="20"/>
  <c r="J373" i="20"/>
  <c r="I385" i="20"/>
  <c r="I377" i="20"/>
  <c r="I378" i="20"/>
  <c r="K529" i="20"/>
  <c r="L527" i="20"/>
  <c r="M551" i="20"/>
  <c r="N545" i="20"/>
  <c r="U507" i="20"/>
  <c r="R419" i="20"/>
  <c r="R422" i="20"/>
  <c r="K521" i="20"/>
  <c r="J523" i="20"/>
  <c r="J525" i="20"/>
  <c r="F402" i="20"/>
  <c r="G574" i="20"/>
  <c r="M559" i="20"/>
  <c r="N555" i="20"/>
  <c r="L614" i="20"/>
  <c r="K617" i="20"/>
  <c r="H171" i="20"/>
  <c r="H182" i="20"/>
  <c r="G440" i="14"/>
  <c r="G453" i="14"/>
  <c r="G458" i="14"/>
  <c r="G460" i="14"/>
  <c r="F154" i="14"/>
  <c r="F583" i="14"/>
  <c r="F585" i="14"/>
  <c r="F587" i="14"/>
  <c r="F675" i="14"/>
  <c r="G675" i="14"/>
  <c r="R451" i="14"/>
  <c r="E385" i="14"/>
  <c r="E389" i="14"/>
  <c r="E287" i="14"/>
  <c r="E290" i="14"/>
  <c r="E292" i="14"/>
  <c r="E302" i="14"/>
  <c r="G611" i="14"/>
  <c r="G629" i="14"/>
  <c r="C25" i="9"/>
  <c r="C11" i="14"/>
  <c r="G270" i="14"/>
  <c r="U451" i="14"/>
  <c r="F629" i="14"/>
  <c r="F631" i="14"/>
  <c r="Z154" i="14"/>
  <c r="Z641" i="14"/>
  <c r="V154" i="14"/>
  <c r="V156" i="14"/>
  <c r="V166" i="14"/>
  <c r="G247" i="14"/>
  <c r="P603" i="14"/>
  <c r="E419" i="14"/>
  <c r="E422" i="14"/>
  <c r="I555" i="14"/>
  <c r="I559" i="14"/>
  <c r="E587" i="14"/>
  <c r="G559" i="14"/>
  <c r="G477" i="14"/>
  <c r="L451" i="14"/>
  <c r="X154" i="14"/>
  <c r="X574" i="14"/>
  <c r="W154" i="14"/>
  <c r="W159" i="14"/>
  <c r="W178" i="14"/>
  <c r="K146" i="14"/>
  <c r="L153" i="14"/>
  <c r="Q451" i="14"/>
  <c r="F377" i="14"/>
  <c r="F378" i="14"/>
  <c r="E359" i="14"/>
  <c r="E745" i="14"/>
  <c r="F385" i="14"/>
  <c r="F389" i="14"/>
  <c r="D221" i="14"/>
  <c r="D226" i="14"/>
  <c r="D228" i="14"/>
  <c r="E479" i="14"/>
  <c r="E492" i="14"/>
  <c r="E494" i="14"/>
  <c r="E509" i="14"/>
  <c r="F270" i="14"/>
  <c r="D404" i="14"/>
  <c r="D408" i="14"/>
  <c r="D409" i="14"/>
  <c r="E407" i="14"/>
  <c r="D419" i="14"/>
  <c r="D422" i="14"/>
  <c r="E377" i="14"/>
  <c r="E378" i="14"/>
  <c r="M451" i="14"/>
  <c r="E453" i="14"/>
  <c r="E458" i="14"/>
  <c r="E460" i="14"/>
  <c r="J291" i="14"/>
  <c r="D200" i="14"/>
  <c r="D201" i="14"/>
  <c r="D303" i="14"/>
  <c r="G154" i="14"/>
  <c r="G465" i="14"/>
  <c r="I603" i="14"/>
  <c r="T438" i="14"/>
  <c r="H676" i="14"/>
  <c r="H677" i="14"/>
  <c r="H227" i="14"/>
  <c r="Y154" i="14"/>
  <c r="Y159" i="14"/>
  <c r="Y178" i="14"/>
  <c r="V449" i="14"/>
  <c r="AB154" i="14"/>
  <c r="AB159" i="14"/>
  <c r="G385" i="14"/>
  <c r="G389" i="14"/>
  <c r="K581" i="14"/>
  <c r="E535" i="14"/>
  <c r="K145" i="14"/>
  <c r="G551" i="14"/>
  <c r="H529" i="14"/>
  <c r="L120" i="14"/>
  <c r="K125" i="14"/>
  <c r="F551" i="14"/>
  <c r="F477" i="14"/>
  <c r="K603" i="14"/>
  <c r="O603" i="14"/>
  <c r="K123" i="14"/>
  <c r="K140" i="14"/>
  <c r="L118" i="14"/>
  <c r="D181" i="14"/>
  <c r="D655" i="14"/>
  <c r="D654" i="14"/>
  <c r="E167" i="14"/>
  <c r="E231" i="14"/>
  <c r="E168" i="14"/>
  <c r="E251" i="14"/>
  <c r="E170" i="14"/>
  <c r="D191" i="14"/>
  <c r="D192" i="14"/>
  <c r="D296" i="14"/>
  <c r="E212" i="14"/>
  <c r="E224" i="14"/>
  <c r="D745" i="14"/>
  <c r="D766" i="14"/>
  <c r="J532" i="14"/>
  <c r="K532" i="14"/>
  <c r="L532" i="14"/>
  <c r="M532" i="14"/>
  <c r="N532" i="14"/>
  <c r="O532" i="14"/>
  <c r="P532" i="14"/>
  <c r="Q532" i="14"/>
  <c r="R532" i="14"/>
  <c r="S532" i="14"/>
  <c r="T532" i="14"/>
  <c r="U532" i="14"/>
  <c r="V532" i="14"/>
  <c r="W532" i="14"/>
  <c r="X532" i="14"/>
  <c r="Y532" i="14"/>
  <c r="Z532" i="14"/>
  <c r="AA532" i="14"/>
  <c r="AB532" i="14"/>
  <c r="AC532" i="14"/>
  <c r="AD532" i="14"/>
  <c r="L119" i="14"/>
  <c r="K124" i="14"/>
  <c r="AA154" i="14"/>
  <c r="AA574" i="14"/>
  <c r="H373" i="14"/>
  <c r="I373" i="14"/>
  <c r="F540" i="14"/>
  <c r="F541" i="14"/>
  <c r="G483" i="14"/>
  <c r="G628" i="14"/>
  <c r="W449" i="14"/>
  <c r="X448" i="14"/>
  <c r="G533" i="14"/>
  <c r="G535" i="14"/>
  <c r="H531" i="14"/>
  <c r="F535" i="14"/>
  <c r="J603" i="14"/>
  <c r="G648" i="14"/>
  <c r="G697" i="14"/>
  <c r="G642" i="14"/>
  <c r="G320" i="14"/>
  <c r="G357" i="14"/>
  <c r="G738" i="14"/>
  <c r="S132" i="14"/>
  <c r="T132" i="14"/>
  <c r="R135" i="14"/>
  <c r="S131" i="14"/>
  <c r="T131" i="14"/>
  <c r="R134" i="14"/>
  <c r="R140" i="14"/>
  <c r="F102" i="9"/>
  <c r="G688" i="14"/>
  <c r="E756" i="14"/>
  <c r="F94" i="14"/>
  <c r="F726" i="14"/>
  <c r="G96" i="9"/>
  <c r="F764" i="14"/>
  <c r="F149" i="14"/>
  <c r="G47" i="9"/>
  <c r="F218" i="14"/>
  <c r="G36" i="9"/>
  <c r="F206" i="14"/>
  <c r="F605" i="14"/>
  <c r="F426" i="14"/>
  <c r="F463" i="14"/>
  <c r="F113" i="14"/>
  <c r="F294" i="14"/>
  <c r="F332" i="14"/>
  <c r="H57" i="9"/>
  <c r="F657" i="14"/>
  <c r="F741" i="14"/>
  <c r="F512" i="14"/>
  <c r="F187" i="14"/>
  <c r="F596" i="14"/>
  <c r="F693" i="14"/>
  <c r="F688" i="14"/>
  <c r="G98" i="9"/>
  <c r="H62" i="9"/>
  <c r="G237" i="14"/>
  <c r="F674" i="14"/>
  <c r="G83" i="9"/>
  <c r="H49" i="9"/>
  <c r="H53" i="9"/>
  <c r="G233" i="14"/>
  <c r="G101" i="9"/>
  <c r="F755" i="14"/>
  <c r="H37" i="9"/>
  <c r="G95" i="14"/>
  <c r="F289" i="14"/>
  <c r="G71" i="9"/>
  <c r="F274" i="14"/>
  <c r="D245" i="14"/>
  <c r="D246" i="14"/>
  <c r="D171" i="14"/>
  <c r="D231" i="14"/>
  <c r="G236" i="14"/>
  <c r="H56" i="9"/>
  <c r="W444" i="14"/>
  <c r="V445" i="14"/>
  <c r="J117" i="14"/>
  <c r="I139" i="14"/>
  <c r="I436" i="14"/>
  <c r="I123" i="14"/>
  <c r="I124" i="14"/>
  <c r="I126" i="14"/>
  <c r="I125" i="14"/>
  <c r="G501" i="14"/>
  <c r="G503" i="14"/>
  <c r="H498" i="14"/>
  <c r="S469" i="14"/>
  <c r="AD154" i="14"/>
  <c r="O130" i="14"/>
  <c r="O139" i="14"/>
  <c r="N139" i="14"/>
  <c r="N447" i="14"/>
  <c r="N135" i="14"/>
  <c r="N134" i="14"/>
  <c r="K471" i="14"/>
  <c r="G45" i="9"/>
  <c r="F216" i="14"/>
  <c r="F219" i="14"/>
  <c r="F220" i="14"/>
  <c r="H61" i="9"/>
  <c r="G241" i="14"/>
  <c r="H270" i="14"/>
  <c r="AC154" i="14"/>
  <c r="I545" i="14"/>
  <c r="H551" i="14"/>
  <c r="H440" i="14"/>
  <c r="J527" i="14"/>
  <c r="I529" i="14"/>
  <c r="H59" i="9"/>
  <c r="G239" i="14"/>
  <c r="M144" i="14"/>
  <c r="L145" i="14"/>
  <c r="F253" i="14"/>
  <c r="G67" i="9"/>
  <c r="H60" i="9"/>
  <c r="G240" i="14"/>
  <c r="T130" i="14"/>
  <c r="S139" i="14"/>
  <c r="S447" i="14"/>
  <c r="S449" i="14"/>
  <c r="S451" i="14"/>
  <c r="G78" i="9"/>
  <c r="F669" i="14"/>
  <c r="K434" i="14"/>
  <c r="K440" i="14"/>
  <c r="K453" i="14"/>
  <c r="L433" i="14"/>
  <c r="I614" i="14"/>
  <c r="G97" i="9"/>
  <c r="F727" i="14"/>
  <c r="P117" i="14"/>
  <c r="O436" i="14"/>
  <c r="O438" i="14"/>
  <c r="O126" i="14"/>
  <c r="D378" i="14"/>
  <c r="G234" i="14"/>
  <c r="H54" i="9"/>
  <c r="G87" i="9"/>
  <c r="F683" i="14"/>
  <c r="J523" i="14"/>
  <c r="J525" i="14"/>
  <c r="K521" i="14"/>
  <c r="M580" i="14"/>
  <c r="L581" i="14"/>
  <c r="S482" i="14"/>
  <c r="H81" i="9"/>
  <c r="G672" i="14"/>
  <c r="H44" i="9"/>
  <c r="G215" i="14"/>
  <c r="E219" i="14"/>
  <c r="E220" i="14"/>
  <c r="H539" i="14"/>
  <c r="G79" i="9"/>
  <c r="F670" i="14"/>
  <c r="F453" i="14"/>
  <c r="H477" i="14"/>
  <c r="I475" i="14"/>
  <c r="H247" i="14"/>
  <c r="D255" i="14"/>
  <c r="D251" i="14"/>
  <c r="D172" i="14"/>
  <c r="J581" i="14"/>
  <c r="I581" i="14"/>
  <c r="G80" i="9"/>
  <c r="F671" i="14"/>
  <c r="G63" i="9"/>
  <c r="F243" i="14"/>
  <c r="F667" i="14"/>
  <c r="D390" i="14"/>
  <c r="E388" i="14"/>
  <c r="E678" i="14"/>
  <c r="K519" i="14"/>
  <c r="L517" i="14"/>
  <c r="G43" i="9"/>
  <c r="F214" i="14"/>
  <c r="H145" i="14"/>
  <c r="E404" i="14"/>
  <c r="G77" i="9"/>
  <c r="F668" i="14"/>
  <c r="G266" i="14"/>
  <c r="G472" i="14"/>
  <c r="F473" i="14"/>
  <c r="C384" i="14"/>
  <c r="H93" i="9"/>
  <c r="G693" i="14"/>
  <c r="J434" i="14"/>
  <c r="V437" i="14"/>
  <c r="U438" i="14"/>
  <c r="G238" i="21"/>
  <c r="G245" i="21"/>
  <c r="G246" i="21"/>
  <c r="G248" i="21"/>
  <c r="H68" i="9"/>
  <c r="G254" i="21"/>
  <c r="G254" i="20"/>
  <c r="G254" i="14"/>
  <c r="G755" i="21"/>
  <c r="G755" i="20"/>
  <c r="F756" i="14"/>
  <c r="F756" i="21"/>
  <c r="F756" i="20"/>
  <c r="E257" i="21"/>
  <c r="E273" i="21"/>
  <c r="E275" i="21"/>
  <c r="G693" i="21"/>
  <c r="G693" i="20"/>
  <c r="H236" i="21"/>
  <c r="H236" i="20"/>
  <c r="G216" i="21"/>
  <c r="G216" i="20"/>
  <c r="H46" i="9"/>
  <c r="G217" i="21"/>
  <c r="G219" i="21"/>
  <c r="G220" i="21"/>
  <c r="G221" i="21"/>
  <c r="G226" i="21"/>
  <c r="G217" i="20"/>
  <c r="G219" i="20"/>
  <c r="G220" i="20"/>
  <c r="G221" i="20"/>
  <c r="G224" i="20"/>
  <c r="G226" i="20"/>
  <c r="G217" i="14"/>
  <c r="H90" i="9"/>
  <c r="G688" i="21"/>
  <c r="G688" i="20"/>
  <c r="G683" i="21"/>
  <c r="G683" i="20"/>
  <c r="H239" i="21"/>
  <c r="H239" i="20"/>
  <c r="G741" i="21"/>
  <c r="G463" i="21"/>
  <c r="G596" i="21"/>
  <c r="G657" i="21"/>
  <c r="G426" i="21"/>
  <c r="G332" i="21"/>
  <c r="G294" i="21"/>
  <c r="G764" i="21"/>
  <c r="G149" i="21"/>
  <c r="G94" i="21"/>
  <c r="G113" i="21"/>
  <c r="G605" i="21"/>
  <c r="G512" i="21"/>
  <c r="G187" i="21"/>
  <c r="G206" i="21"/>
  <c r="G764" i="20"/>
  <c r="G657" i="20"/>
  <c r="G605" i="20"/>
  <c r="G463" i="20"/>
  <c r="G426" i="20"/>
  <c r="G512" i="20"/>
  <c r="G332" i="20"/>
  <c r="G596" i="20"/>
  <c r="G741" i="20"/>
  <c r="G294" i="20"/>
  <c r="G206" i="20"/>
  <c r="G149" i="20"/>
  <c r="G113" i="20"/>
  <c r="G187" i="20"/>
  <c r="G94" i="20"/>
  <c r="H234" i="21"/>
  <c r="H234" i="20"/>
  <c r="G669" i="20"/>
  <c r="G669" i="21"/>
  <c r="H84" i="9"/>
  <c r="G675" i="21"/>
  <c r="G675" i="20"/>
  <c r="E257" i="20"/>
  <c r="E273" i="20"/>
  <c r="E275" i="20"/>
  <c r="E284" i="20"/>
  <c r="E316" i="20"/>
  <c r="E325" i="20"/>
  <c r="E692" i="20"/>
  <c r="E694" i="20"/>
  <c r="G673" i="21"/>
  <c r="G673" i="20"/>
  <c r="G673" i="14"/>
  <c r="H82" i="9"/>
  <c r="H215" i="21"/>
  <c r="H215" i="20"/>
  <c r="H223" i="21"/>
  <c r="H224" i="21"/>
  <c r="H223" i="20"/>
  <c r="H224" i="20"/>
  <c r="G233" i="21"/>
  <c r="G233" i="20"/>
  <c r="G670" i="21"/>
  <c r="G670" i="20"/>
  <c r="H233" i="21"/>
  <c r="H233" i="20"/>
  <c r="G218" i="21"/>
  <c r="G218" i="20"/>
  <c r="G235" i="21"/>
  <c r="G235" i="20"/>
  <c r="G668" i="21"/>
  <c r="G668" i="20"/>
  <c r="G243" i="21"/>
  <c r="G243" i="20"/>
  <c r="H55" i="9"/>
  <c r="G674" i="21"/>
  <c r="G674" i="20"/>
  <c r="H237" i="21"/>
  <c r="H237" i="20"/>
  <c r="E265" i="20"/>
  <c r="E267" i="20"/>
  <c r="E228" i="20"/>
  <c r="H241" i="21"/>
  <c r="H241" i="20"/>
  <c r="G667" i="21"/>
  <c r="G667" i="20"/>
  <c r="H672" i="21"/>
  <c r="H672" i="20"/>
  <c r="G289" i="21"/>
  <c r="G290" i="21"/>
  <c r="G292" i="21"/>
  <c r="G302" i="21"/>
  <c r="G289" i="20"/>
  <c r="G290" i="20"/>
  <c r="G292" i="20"/>
  <c r="G302" i="20"/>
  <c r="G671" i="21"/>
  <c r="G671" i="20"/>
  <c r="H240" i="21"/>
  <c r="H240" i="20"/>
  <c r="F273" i="20"/>
  <c r="F275" i="20"/>
  <c r="F245" i="21"/>
  <c r="F246" i="21"/>
  <c r="E283" i="21"/>
  <c r="E315" i="21"/>
  <c r="F219" i="20"/>
  <c r="F220" i="20"/>
  <c r="F221" i="20"/>
  <c r="F226" i="20"/>
  <c r="F678" i="21"/>
  <c r="F257" i="21"/>
  <c r="F273" i="21"/>
  <c r="F275" i="21"/>
  <c r="G726" i="21"/>
  <c r="G726" i="20"/>
  <c r="G253" i="21"/>
  <c r="G255" i="21"/>
  <c r="G253" i="20"/>
  <c r="H242" i="21"/>
  <c r="H242" i="20"/>
  <c r="F219" i="21"/>
  <c r="F220" i="21"/>
  <c r="F221" i="21"/>
  <c r="F226" i="21"/>
  <c r="E265" i="21"/>
  <c r="E267" i="21"/>
  <c r="E228" i="21"/>
  <c r="H693" i="21"/>
  <c r="H693" i="20"/>
  <c r="G214" i="21"/>
  <c r="G214" i="20"/>
  <c r="G727" i="21"/>
  <c r="G727" i="20"/>
  <c r="H95" i="21"/>
  <c r="H95" i="20"/>
  <c r="G732" i="14"/>
  <c r="G732" i="21"/>
  <c r="G732" i="20"/>
  <c r="H58" i="9"/>
  <c r="G238" i="20"/>
  <c r="G245" i="20"/>
  <c r="G246" i="20"/>
  <c r="G238" i="14"/>
  <c r="L100" i="21"/>
  <c r="K676" i="21"/>
  <c r="K677" i="21"/>
  <c r="K227" i="21"/>
  <c r="N106" i="21"/>
  <c r="M266" i="21"/>
  <c r="L270" i="21"/>
  <c r="M107" i="21"/>
  <c r="K320" i="21"/>
  <c r="L98" i="21"/>
  <c r="K642" i="21"/>
  <c r="K357" i="21"/>
  <c r="K359" i="21"/>
  <c r="K648" i="21"/>
  <c r="K738" i="21"/>
  <c r="K697" i="21"/>
  <c r="N256" i="21"/>
  <c r="O102" i="21"/>
  <c r="N103" i="21"/>
  <c r="M291" i="21"/>
  <c r="M108" i="21"/>
  <c r="L274" i="21"/>
  <c r="P101" i="21"/>
  <c r="O247" i="21"/>
  <c r="N247" i="20"/>
  <c r="O101" i="20"/>
  <c r="N676" i="20"/>
  <c r="N677" i="20"/>
  <c r="N227" i="20"/>
  <c r="O100" i="20"/>
  <c r="L291" i="20"/>
  <c r="M103" i="20"/>
  <c r="M256" i="20"/>
  <c r="N102" i="20"/>
  <c r="O591" i="21"/>
  <c r="O572" i="21"/>
  <c r="O583" i="21"/>
  <c r="O585" i="21"/>
  <c r="O587" i="21"/>
  <c r="O593" i="21"/>
  <c r="O594" i="21"/>
  <c r="O566" i="21"/>
  <c r="O465" i="21"/>
  <c r="O570" i="21"/>
  <c r="O159" i="21"/>
  <c r="O350" i="21"/>
  <c r="O354" i="21"/>
  <c r="O158" i="21"/>
  <c r="O157" i="21"/>
  <c r="N591" i="21"/>
  <c r="E643" i="21"/>
  <c r="E329" i="21"/>
  <c r="E645" i="21"/>
  <c r="M461" i="21"/>
  <c r="I510" i="21"/>
  <c r="N517" i="21"/>
  <c r="M519" i="21"/>
  <c r="P614" i="21"/>
  <c r="K419" i="21"/>
  <c r="K422" i="21"/>
  <c r="K287" i="21"/>
  <c r="J159" i="21"/>
  <c r="J178" i="21"/>
  <c r="J200" i="21"/>
  <c r="H195" i="21"/>
  <c r="H618" i="21"/>
  <c r="H296" i="21"/>
  <c r="G296" i="21"/>
  <c r="G195" i="21"/>
  <c r="G618" i="21"/>
  <c r="C124" i="21"/>
  <c r="AC448" i="21"/>
  <c r="AB449" i="21"/>
  <c r="L611" i="21"/>
  <c r="K615" i="21"/>
  <c r="K617" i="21"/>
  <c r="K629" i="21"/>
  <c r="K631" i="21"/>
  <c r="C125" i="21"/>
  <c r="Q570" i="21"/>
  <c r="Q583" i="21"/>
  <c r="Q585" i="21"/>
  <c r="Q587" i="21"/>
  <c r="Q591" i="21"/>
  <c r="Q566" i="21"/>
  <c r="Q465" i="21"/>
  <c r="Q350" i="21"/>
  <c r="Q354" i="21"/>
  <c r="Q572" i="21"/>
  <c r="Q158" i="21"/>
  <c r="Q159" i="21"/>
  <c r="Q157" i="21"/>
  <c r="J484" i="21"/>
  <c r="K482" i="21"/>
  <c r="S570" i="21"/>
  <c r="S583" i="21"/>
  <c r="S585" i="21"/>
  <c r="S587" i="21"/>
  <c r="S591" i="21"/>
  <c r="S566" i="21"/>
  <c r="S350" i="21"/>
  <c r="S354" i="21"/>
  <c r="S572" i="21"/>
  <c r="S158" i="21"/>
  <c r="S465" i="21"/>
  <c r="S157" i="21"/>
  <c r="S159" i="21"/>
  <c r="D689" i="21"/>
  <c r="F404" i="21"/>
  <c r="F419" i="21"/>
  <c r="I654" i="21"/>
  <c r="I181" i="21"/>
  <c r="H204" i="21"/>
  <c r="H632" i="21"/>
  <c r="H301" i="21"/>
  <c r="D682" i="21"/>
  <c r="G183" i="21"/>
  <c r="I251" i="21"/>
  <c r="L165" i="21"/>
  <c r="P591" i="21"/>
  <c r="P594" i="21"/>
  <c r="P572" i="21"/>
  <c r="P583" i="21"/>
  <c r="P585" i="21"/>
  <c r="P587" i="21"/>
  <c r="P593" i="21"/>
  <c r="P570" i="21"/>
  <c r="P465" i="21"/>
  <c r="P566" i="21"/>
  <c r="P350" i="21"/>
  <c r="P354" i="21"/>
  <c r="P159" i="21"/>
  <c r="P157" i="21"/>
  <c r="P158" i="21"/>
  <c r="D692" i="21"/>
  <c r="N555" i="21"/>
  <c r="M559" i="21"/>
  <c r="F301" i="21"/>
  <c r="F303" i="21"/>
  <c r="F204" i="21"/>
  <c r="F745" i="21"/>
  <c r="F766" i="21"/>
  <c r="G273" i="21"/>
  <c r="G275" i="21"/>
  <c r="G257" i="21"/>
  <c r="G284" i="21"/>
  <c r="G316" i="21"/>
  <c r="G325" i="21"/>
  <c r="G692" i="21"/>
  <c r="G694" i="21"/>
  <c r="J453" i="21"/>
  <c r="N521" i="21"/>
  <c r="M523" i="21"/>
  <c r="M525" i="21"/>
  <c r="M483" i="21"/>
  <c r="L540" i="21"/>
  <c r="G303" i="21"/>
  <c r="G317" i="21"/>
  <c r="G326" i="21"/>
  <c r="G682" i="21"/>
  <c r="G684" i="21"/>
  <c r="G301" i="21"/>
  <c r="G204" i="21"/>
  <c r="G632" i="21"/>
  <c r="D409" i="21"/>
  <c r="E407" i="21"/>
  <c r="E409" i="21"/>
  <c r="F407" i="21"/>
  <c r="I231" i="21"/>
  <c r="M628" i="21"/>
  <c r="R570" i="21"/>
  <c r="R566" i="21"/>
  <c r="R465" i="21"/>
  <c r="R591" i="21"/>
  <c r="R572" i="21"/>
  <c r="R350" i="21"/>
  <c r="R354" i="21"/>
  <c r="R583" i="21"/>
  <c r="R585" i="21"/>
  <c r="R587" i="21"/>
  <c r="R158" i="21"/>
  <c r="R157" i="21"/>
  <c r="R159" i="21"/>
  <c r="K471" i="21"/>
  <c r="J473" i="21"/>
  <c r="J479" i="21"/>
  <c r="J492" i="21"/>
  <c r="M551" i="21"/>
  <c r="N545" i="21"/>
  <c r="T583" i="21"/>
  <c r="T585" i="21"/>
  <c r="T587" i="21"/>
  <c r="T566" i="21"/>
  <c r="T465" i="21"/>
  <c r="T570" i="21"/>
  <c r="T572" i="21"/>
  <c r="T350" i="21"/>
  <c r="T354" i="21"/>
  <c r="T159" i="21"/>
  <c r="T158" i="21"/>
  <c r="T157" i="21"/>
  <c r="I171" i="21"/>
  <c r="I182" i="21"/>
  <c r="F195" i="21"/>
  <c r="F296" i="21"/>
  <c r="P433" i="21"/>
  <c r="O434" i="21"/>
  <c r="O440" i="21"/>
  <c r="O453" i="21"/>
  <c r="H182" i="21"/>
  <c r="H185" i="21"/>
  <c r="M177" i="21"/>
  <c r="L178" i="21"/>
  <c r="I766" i="21"/>
  <c r="I745" i="21"/>
  <c r="U154" i="21"/>
  <c r="T591" i="21"/>
  <c r="C153" i="21"/>
  <c r="C152" i="21"/>
  <c r="K179" i="21"/>
  <c r="K184" i="21"/>
  <c r="I404" i="21"/>
  <c r="I408" i="21"/>
  <c r="I419" i="21"/>
  <c r="I422" i="21"/>
  <c r="J541" i="21"/>
  <c r="K539" i="21"/>
  <c r="M475" i="21"/>
  <c r="L477" i="21"/>
  <c r="N593" i="21"/>
  <c r="N594" i="21"/>
  <c r="K529" i="21"/>
  <c r="K535" i="21"/>
  <c r="L527" i="21"/>
  <c r="J572" i="21"/>
  <c r="J583" i="21"/>
  <c r="J465" i="21"/>
  <c r="J350" i="21"/>
  <c r="J566" i="21"/>
  <c r="J574" i="21"/>
  <c r="J575" i="21"/>
  <c r="J591" i="21"/>
  <c r="J570" i="21"/>
  <c r="J158" i="21"/>
  <c r="J157" i="21"/>
  <c r="C154" i="21"/>
  <c r="I591" i="21"/>
  <c r="I593" i="21"/>
  <c r="I594" i="21"/>
  <c r="O140" i="21"/>
  <c r="C140" i="21"/>
  <c r="C123" i="21"/>
  <c r="C118" i="21"/>
  <c r="D263" i="21"/>
  <c r="H510" i="21"/>
  <c r="N469" i="21"/>
  <c r="G593" i="21"/>
  <c r="D664" i="21"/>
  <c r="D640" i="21"/>
  <c r="C120" i="21"/>
  <c r="K498" i="21"/>
  <c r="J501" i="21"/>
  <c r="J503" i="21"/>
  <c r="P531" i="21"/>
  <c r="O533" i="21"/>
  <c r="F392" i="21"/>
  <c r="N440" i="21"/>
  <c r="N453" i="21"/>
  <c r="M401" i="21"/>
  <c r="M402" i="21"/>
  <c r="M356" i="21"/>
  <c r="X437" i="21"/>
  <c r="W438" i="21"/>
  <c r="D638" i="21"/>
  <c r="I574" i="21"/>
  <c r="T445" i="21"/>
  <c r="T451" i="21"/>
  <c r="U444" i="21"/>
  <c r="J373" i="21"/>
  <c r="I377" i="21"/>
  <c r="I385" i="21"/>
  <c r="N401" i="21"/>
  <c r="N402" i="21"/>
  <c r="N356" i="21"/>
  <c r="G388" i="21"/>
  <c r="G390" i="21"/>
  <c r="P154" i="20"/>
  <c r="C449" i="20"/>
  <c r="C126" i="20"/>
  <c r="C123" i="20"/>
  <c r="C118" i="20"/>
  <c r="L107" i="20"/>
  <c r="K270" i="20"/>
  <c r="F283" i="20"/>
  <c r="M274" i="20"/>
  <c r="N108" i="20"/>
  <c r="L266" i="20"/>
  <c r="M106" i="20"/>
  <c r="K766" i="20"/>
  <c r="K745" i="20"/>
  <c r="L357" i="20"/>
  <c r="L359" i="20"/>
  <c r="L745" i="20"/>
  <c r="L642" i="20"/>
  <c r="L320" i="20"/>
  <c r="L738" i="20"/>
  <c r="L648" i="20"/>
  <c r="M98" i="20"/>
  <c r="L697" i="20"/>
  <c r="D638" i="20"/>
  <c r="D682" i="20"/>
  <c r="I168" i="20"/>
  <c r="I172" i="20"/>
  <c r="I183" i="20"/>
  <c r="I167" i="20"/>
  <c r="I171" i="20"/>
  <c r="I182" i="20"/>
  <c r="H191" i="20"/>
  <c r="H192" i="20"/>
  <c r="I212" i="20"/>
  <c r="P517" i="20"/>
  <c r="O519" i="20"/>
  <c r="N559" i="20"/>
  <c r="O555" i="20"/>
  <c r="M419" i="20"/>
  <c r="M422" i="20"/>
  <c r="K475" i="20"/>
  <c r="J477" i="20"/>
  <c r="J479" i="20"/>
  <c r="J492" i="20"/>
  <c r="J494" i="20"/>
  <c r="J509" i="20"/>
  <c r="J510" i="20"/>
  <c r="K165" i="20"/>
  <c r="K531" i="20"/>
  <c r="J533" i="20"/>
  <c r="H185" i="20"/>
  <c r="K177" i="20"/>
  <c r="J178" i="20"/>
  <c r="G587" i="20"/>
  <c r="O628" i="20"/>
  <c r="G391" i="20"/>
  <c r="W445" i="20"/>
  <c r="F766" i="20"/>
  <c r="F745" i="20"/>
  <c r="L469" i="20"/>
  <c r="C6" i="20"/>
  <c r="E618" i="20"/>
  <c r="C125" i="20"/>
  <c r="H461" i="20"/>
  <c r="N551" i="20"/>
  <c r="O545" i="20"/>
  <c r="G575" i="20"/>
  <c r="L529" i="20"/>
  <c r="M527" i="20"/>
  <c r="L419" i="20"/>
  <c r="L422" i="20"/>
  <c r="Z438" i="20"/>
  <c r="G401" i="20"/>
  <c r="G356" i="20"/>
  <c r="T593" i="20"/>
  <c r="T594" i="20"/>
  <c r="C121" i="20"/>
  <c r="U419" i="20"/>
  <c r="U422" i="20"/>
  <c r="E632" i="20"/>
  <c r="O154" i="20"/>
  <c r="C152" i="20"/>
  <c r="N603" i="20"/>
  <c r="C603" i="20"/>
  <c r="C599" i="20"/>
  <c r="G654" i="20"/>
  <c r="G181" i="20"/>
  <c r="O498" i="20"/>
  <c r="N501" i="20"/>
  <c r="N503" i="20"/>
  <c r="N507" i="20"/>
  <c r="D692" i="20"/>
  <c r="M614" i="20"/>
  <c r="L617" i="20"/>
  <c r="L539" i="20"/>
  <c r="K541" i="20"/>
  <c r="F404" i="20"/>
  <c r="F419" i="20"/>
  <c r="N611" i="20"/>
  <c r="M629" i="20"/>
  <c r="M631" i="20"/>
  <c r="M615" i="20"/>
  <c r="P583" i="20"/>
  <c r="P585" i="20"/>
  <c r="P587" i="20"/>
  <c r="P572" i="20"/>
  <c r="P566" i="20"/>
  <c r="P591" i="20"/>
  <c r="P570" i="20"/>
  <c r="P465" i="20"/>
  <c r="P350" i="20"/>
  <c r="P354" i="20"/>
  <c r="P158" i="20"/>
  <c r="P159" i="20"/>
  <c r="L482" i="20"/>
  <c r="K484" i="20"/>
  <c r="D664" i="20"/>
  <c r="G183" i="20"/>
  <c r="Q401" i="20"/>
  <c r="Q402" i="20"/>
  <c r="Q356" i="20"/>
  <c r="D687" i="20"/>
  <c r="J535" i="20"/>
  <c r="J574" i="20"/>
  <c r="J575" i="20"/>
  <c r="E317" i="20"/>
  <c r="D263" i="20"/>
  <c r="F594" i="20"/>
  <c r="G182" i="20"/>
  <c r="L521" i="20"/>
  <c r="K523" i="20"/>
  <c r="K525" i="20"/>
  <c r="I389" i="20"/>
  <c r="K473" i="20"/>
  <c r="L471" i="20"/>
  <c r="L124" i="20"/>
  <c r="L157" i="20"/>
  <c r="L540" i="20"/>
  <c r="M483" i="20"/>
  <c r="G231" i="20"/>
  <c r="D652" i="20"/>
  <c r="G184" i="20"/>
  <c r="K373" i="20"/>
  <c r="J377" i="20"/>
  <c r="J378" i="20"/>
  <c r="J385" i="20"/>
  <c r="J389" i="20"/>
  <c r="F284" i="20"/>
  <c r="K453" i="20"/>
  <c r="G255" i="20"/>
  <c r="G251" i="20"/>
  <c r="J766" i="20"/>
  <c r="J745" i="20"/>
  <c r="I287" i="20"/>
  <c r="H200" i="20"/>
  <c r="H201" i="20"/>
  <c r="G509" i="20"/>
  <c r="T401" i="20"/>
  <c r="T402" i="20"/>
  <c r="T356" i="20"/>
  <c r="L434" i="20"/>
  <c r="L440" i="20"/>
  <c r="L453" i="20"/>
  <c r="G192" i="20"/>
  <c r="F192" i="20"/>
  <c r="J404" i="20"/>
  <c r="J408" i="20"/>
  <c r="J419" i="20"/>
  <c r="J422" i="20"/>
  <c r="G201" i="20"/>
  <c r="F201" i="20"/>
  <c r="J461" i="20"/>
  <c r="F156" i="14"/>
  <c r="F166" i="14"/>
  <c r="E191" i="14"/>
  <c r="E766" i="14"/>
  <c r="F350" i="14"/>
  <c r="F354" i="14"/>
  <c r="F401" i="14"/>
  <c r="F572" i="14"/>
  <c r="F157" i="14"/>
  <c r="F167" i="14"/>
  <c r="F171" i="14"/>
  <c r="F182" i="14"/>
  <c r="E591" i="14"/>
  <c r="E593" i="14"/>
  <c r="F465" i="14"/>
  <c r="F507" i="14"/>
  <c r="F566" i="14"/>
  <c r="F159" i="14"/>
  <c r="F178" i="14"/>
  <c r="F287" i="14"/>
  <c r="F290" i="14"/>
  <c r="F292" i="14"/>
  <c r="F302" i="14"/>
  <c r="Y583" i="14"/>
  <c r="Y585" i="14"/>
  <c r="G615" i="14"/>
  <c r="G617" i="14"/>
  <c r="Y410" i="14"/>
  <c r="Y411" i="14"/>
  <c r="Y350" i="14"/>
  <c r="Y354" i="14"/>
  <c r="Y401" i="14"/>
  <c r="Y402" i="14"/>
  <c r="F158" i="14"/>
  <c r="E390" i="14"/>
  <c r="F388" i="14"/>
  <c r="F390" i="14"/>
  <c r="F391" i="14"/>
  <c r="G388" i="14"/>
  <c r="G390" i="14"/>
  <c r="E392" i="14"/>
  <c r="J555" i="14"/>
  <c r="J559" i="14"/>
  <c r="Y158" i="14"/>
  <c r="Y570" i="14"/>
  <c r="X465" i="14"/>
  <c r="X507" i="14"/>
  <c r="F570" i="14"/>
  <c r="E411" i="14"/>
  <c r="Y594" i="14"/>
  <c r="X350" i="14"/>
  <c r="X354" i="14"/>
  <c r="X356" i="14"/>
  <c r="W591" i="14"/>
  <c r="Y575" i="14"/>
  <c r="X391" i="14"/>
  <c r="X392" i="14"/>
  <c r="W574" i="14"/>
  <c r="Y465" i="14"/>
  <c r="Y507" i="14"/>
  <c r="H611" i="14"/>
  <c r="H629" i="14"/>
  <c r="AA570" i="14"/>
  <c r="AA156" i="14"/>
  <c r="AA166" i="14"/>
  <c r="AA170" i="14"/>
  <c r="Z410" i="14"/>
  <c r="Z411" i="14"/>
  <c r="X510" i="14"/>
  <c r="Z391" i="14"/>
  <c r="Z392" i="14"/>
  <c r="X594" i="14"/>
  <c r="K153" i="14"/>
  <c r="X646" i="14"/>
  <c r="Z158" i="14"/>
  <c r="Z156" i="14"/>
  <c r="Z166" i="14"/>
  <c r="Z170" i="14"/>
  <c r="X591" i="14"/>
  <c r="V510" i="14"/>
  <c r="V572" i="14"/>
  <c r="X410" i="14"/>
  <c r="X411" i="14"/>
  <c r="X566" i="14"/>
  <c r="G157" i="14"/>
  <c r="Z570" i="14"/>
  <c r="X157" i="14"/>
  <c r="V465" i="14"/>
  <c r="AA510" i="14"/>
  <c r="AA157" i="14"/>
  <c r="AA158" i="14"/>
  <c r="G159" i="14"/>
  <c r="G178" i="14"/>
  <c r="G179" i="14"/>
  <c r="G184" i="14"/>
  <c r="Z575" i="14"/>
  <c r="X570" i="14"/>
  <c r="Z510" i="14"/>
  <c r="Z572" i="14"/>
  <c r="V566" i="14"/>
  <c r="AA646" i="14"/>
  <c r="V646" i="14"/>
  <c r="X158" i="14"/>
  <c r="X159" i="14"/>
  <c r="X178" i="14"/>
  <c r="X179" i="14"/>
  <c r="W575" i="14"/>
  <c r="AA575" i="14"/>
  <c r="Z583" i="14"/>
  <c r="Z585" i="14"/>
  <c r="V641" i="14"/>
  <c r="X641" i="14"/>
  <c r="X156" i="14"/>
  <c r="X166" i="14"/>
  <c r="X168" i="14"/>
  <c r="X172" i="14"/>
  <c r="W572" i="14"/>
  <c r="Z594" i="14"/>
  <c r="AA583" i="14"/>
  <c r="AA585" i="14"/>
  <c r="Z574" i="14"/>
  <c r="V157" i="14"/>
  <c r="X575" i="14"/>
  <c r="W641" i="14"/>
  <c r="G572" i="14"/>
  <c r="Z157" i="14"/>
  <c r="Z465" i="14"/>
  <c r="Z507" i="14"/>
  <c r="V570" i="14"/>
  <c r="X572" i="14"/>
  <c r="W646" i="14"/>
  <c r="Z646" i="14"/>
  <c r="Z350" i="14"/>
  <c r="Z354" i="14"/>
  <c r="Z401" i="14"/>
  <c r="Z402" i="14"/>
  <c r="V410" i="14"/>
  <c r="V411" i="14"/>
  <c r="Z566" i="14"/>
  <c r="Z159" i="14"/>
  <c r="Z178" i="14"/>
  <c r="Z179" i="14"/>
  <c r="V350" i="14"/>
  <c r="V354" i="14"/>
  <c r="V401" i="14"/>
  <c r="V402" i="14"/>
  <c r="V575" i="14"/>
  <c r="V583" i="14"/>
  <c r="V585" i="14"/>
  <c r="V574" i="14"/>
  <c r="V391" i="14"/>
  <c r="V392" i="14"/>
  <c r="D204" i="14"/>
  <c r="D632" i="14"/>
  <c r="V158" i="14"/>
  <c r="V159" i="14"/>
  <c r="V178" i="14"/>
  <c r="U200" i="14"/>
  <c r="X583" i="14"/>
  <c r="X585" i="14"/>
  <c r="V594" i="14"/>
  <c r="W410" i="14"/>
  <c r="W411" i="14"/>
  <c r="W157" i="14"/>
  <c r="W391" i="14"/>
  <c r="W392" i="14"/>
  <c r="W158" i="14"/>
  <c r="W350" i="14"/>
  <c r="W354" i="14"/>
  <c r="W356" i="14"/>
  <c r="W594" i="14"/>
  <c r="W156" i="14"/>
  <c r="W166" i="14"/>
  <c r="W212" i="14"/>
  <c r="Z591" i="14"/>
  <c r="W510" i="14"/>
  <c r="AA641" i="14"/>
  <c r="AA410" i="14"/>
  <c r="AA411" i="14"/>
  <c r="Y572" i="14"/>
  <c r="AA566" i="14"/>
  <c r="AA391" i="14"/>
  <c r="AA392" i="14"/>
  <c r="G256" i="14"/>
  <c r="S135" i="14"/>
  <c r="W583" i="14"/>
  <c r="W585" i="14"/>
  <c r="AA572" i="14"/>
  <c r="AA350" i="14"/>
  <c r="AA354" i="14"/>
  <c r="AA356" i="14"/>
  <c r="Y646" i="14"/>
  <c r="AA594" i="14"/>
  <c r="AA159" i="14"/>
  <c r="AA178" i="14"/>
  <c r="Z200" i="14"/>
  <c r="V591" i="14"/>
  <c r="W566" i="14"/>
  <c r="W465" i="14"/>
  <c r="W507" i="14"/>
  <c r="AA465" i="14"/>
  <c r="AA507" i="14"/>
  <c r="F170" i="14"/>
  <c r="F181" i="14"/>
  <c r="Y156" i="14"/>
  <c r="Y166" i="14"/>
  <c r="Y168" i="14"/>
  <c r="Y172" i="14"/>
  <c r="AA591" i="14"/>
  <c r="W570" i="14"/>
  <c r="AB510" i="14"/>
  <c r="Y591" i="14"/>
  <c r="D265" i="14"/>
  <c r="D267" i="14"/>
  <c r="G158" i="14"/>
  <c r="AB574" i="14"/>
  <c r="Y566" i="14"/>
  <c r="Y157" i="14"/>
  <c r="Y574" i="14"/>
  <c r="D301" i="14"/>
  <c r="H377" i="14"/>
  <c r="H378" i="14"/>
  <c r="Y641" i="14"/>
  <c r="Y391" i="14"/>
  <c r="Y392" i="14"/>
  <c r="E245" i="14"/>
  <c r="E246" i="14"/>
  <c r="E248" i="14"/>
  <c r="H385" i="14"/>
  <c r="H389" i="14"/>
  <c r="D195" i="14"/>
  <c r="D618" i="14"/>
  <c r="Y510" i="14"/>
  <c r="E221" i="14"/>
  <c r="E226" i="14"/>
  <c r="E228" i="14"/>
  <c r="G350" i="14"/>
  <c r="G354" i="14"/>
  <c r="G401" i="14"/>
  <c r="G402" i="14"/>
  <c r="V451" i="14"/>
  <c r="E171" i="14"/>
  <c r="E182" i="14"/>
  <c r="G566" i="14"/>
  <c r="AB350" i="14"/>
  <c r="AB354" i="14"/>
  <c r="AB356" i="14"/>
  <c r="L152" i="14"/>
  <c r="L154" i="14"/>
  <c r="G583" i="14"/>
  <c r="G585" i="14"/>
  <c r="F591" i="14"/>
  <c r="F593" i="14"/>
  <c r="K291" i="14"/>
  <c r="G156" i="14"/>
  <c r="G166" i="14"/>
  <c r="G212" i="14"/>
  <c r="G570" i="14"/>
  <c r="AB158" i="14"/>
  <c r="AB594" i="14"/>
  <c r="F479" i="14"/>
  <c r="F492" i="14"/>
  <c r="AB570" i="14"/>
  <c r="AB465" i="14"/>
  <c r="AB507" i="14"/>
  <c r="AB575" i="14"/>
  <c r="AB583" i="14"/>
  <c r="AB585" i="14"/>
  <c r="AB646" i="14"/>
  <c r="AB391" i="14"/>
  <c r="AB392" i="14"/>
  <c r="AB566" i="14"/>
  <c r="AB410" i="14"/>
  <c r="AB411" i="14"/>
  <c r="E172" i="14"/>
  <c r="E183" i="14"/>
  <c r="AB572" i="14"/>
  <c r="AB178" i="14"/>
  <c r="AA200" i="14"/>
  <c r="I676" i="14"/>
  <c r="I677" i="14"/>
  <c r="I227" i="14"/>
  <c r="AB156" i="14"/>
  <c r="AB166" i="14"/>
  <c r="AB167" i="14"/>
  <c r="AB641" i="14"/>
  <c r="S134" i="14"/>
  <c r="S140" i="14"/>
  <c r="AB157" i="14"/>
  <c r="C117" i="14"/>
  <c r="C132" i="14"/>
  <c r="M119" i="14"/>
  <c r="L124" i="14"/>
  <c r="E181" i="14"/>
  <c r="E654" i="14"/>
  <c r="E655" i="14"/>
  <c r="I531" i="14"/>
  <c r="H533" i="14"/>
  <c r="H535" i="14"/>
  <c r="Y448" i="14"/>
  <c r="X449" i="14"/>
  <c r="H357" i="14"/>
  <c r="H738" i="14"/>
  <c r="H648" i="14"/>
  <c r="H697" i="14"/>
  <c r="H642" i="14"/>
  <c r="H320" i="14"/>
  <c r="G631" i="14"/>
  <c r="H628" i="14"/>
  <c r="M120" i="14"/>
  <c r="L125" i="14"/>
  <c r="M118" i="14"/>
  <c r="L123" i="14"/>
  <c r="L140" i="14"/>
  <c r="G540" i="14"/>
  <c r="G541" i="14"/>
  <c r="H483" i="14"/>
  <c r="E255" i="14"/>
  <c r="E273" i="14"/>
  <c r="E275" i="14"/>
  <c r="G484" i="14"/>
  <c r="I57" i="9"/>
  <c r="G102" i="9"/>
  <c r="H98" i="9"/>
  <c r="H237" i="14"/>
  <c r="H96" i="9"/>
  <c r="G726" i="14"/>
  <c r="H242" i="14"/>
  <c r="I62" i="9"/>
  <c r="H36" i="9"/>
  <c r="G149" i="14"/>
  <c r="G657" i="14"/>
  <c r="G596" i="14"/>
  <c r="G294" i="14"/>
  <c r="G605" i="14"/>
  <c r="G113" i="14"/>
  <c r="G94" i="14"/>
  <c r="G332" i="14"/>
  <c r="G206" i="14"/>
  <c r="G426" i="14"/>
  <c r="G512" i="14"/>
  <c r="G463" i="14"/>
  <c r="G741" i="14"/>
  <c r="G764" i="14"/>
  <c r="G187" i="14"/>
  <c r="H47" i="9"/>
  <c r="G218" i="14"/>
  <c r="I53" i="9"/>
  <c r="H233" i="14"/>
  <c r="G755" i="14"/>
  <c r="H101" i="9"/>
  <c r="I49" i="9"/>
  <c r="H223" i="14"/>
  <c r="G674" i="14"/>
  <c r="H83" i="9"/>
  <c r="F678" i="14"/>
  <c r="I37" i="9"/>
  <c r="H95" i="14"/>
  <c r="G461" i="14"/>
  <c r="D269" i="14"/>
  <c r="D271" i="14"/>
  <c r="D248" i="14"/>
  <c r="I60" i="9"/>
  <c r="H240" i="14"/>
  <c r="H77" i="9"/>
  <c r="G668" i="14"/>
  <c r="H63" i="9"/>
  <c r="G243" i="14"/>
  <c r="L521" i="14"/>
  <c r="K523" i="14"/>
  <c r="K525" i="14"/>
  <c r="H97" i="9"/>
  <c r="G727" i="14"/>
  <c r="AC156" i="14"/>
  <c r="AC166" i="14"/>
  <c r="AC159" i="14"/>
  <c r="AC178" i="14"/>
  <c r="AC350" i="14"/>
  <c r="AC354" i="14"/>
  <c r="AC391" i="14"/>
  <c r="AC392" i="14"/>
  <c r="AC410" i="14"/>
  <c r="AC411" i="14"/>
  <c r="AC465" i="14"/>
  <c r="AC591" i="14"/>
  <c r="AC574" i="14"/>
  <c r="AC583" i="14"/>
  <c r="AC585" i="14"/>
  <c r="AC594" i="14"/>
  <c r="AC158" i="14"/>
  <c r="AC157" i="14"/>
  <c r="AC641" i="14"/>
  <c r="AC566" i="14"/>
  <c r="AC572" i="14"/>
  <c r="AC646" i="14"/>
  <c r="AC510" i="14"/>
  <c r="AC570" i="14"/>
  <c r="AC575" i="14"/>
  <c r="L471" i="14"/>
  <c r="N599" i="14"/>
  <c r="L603" i="14"/>
  <c r="AB591" i="14"/>
  <c r="K458" i="14"/>
  <c r="K460" i="14"/>
  <c r="H45" i="9"/>
  <c r="G216" i="14"/>
  <c r="G219" i="14"/>
  <c r="G220" i="14"/>
  <c r="H43" i="9"/>
  <c r="G214" i="14"/>
  <c r="D257" i="14"/>
  <c r="D273" i="14"/>
  <c r="D275" i="14"/>
  <c r="G670" i="14"/>
  <c r="H79" i="9"/>
  <c r="G507" i="14"/>
  <c r="P130" i="14"/>
  <c r="C130" i="14"/>
  <c r="O447" i="14"/>
  <c r="O449" i="14"/>
  <c r="O451" i="14"/>
  <c r="O135" i="14"/>
  <c r="O134" i="14"/>
  <c r="I498" i="14"/>
  <c r="H501" i="14"/>
  <c r="H503" i="14"/>
  <c r="I59" i="9"/>
  <c r="H239" i="14"/>
  <c r="N449" i="14"/>
  <c r="I44" i="9"/>
  <c r="H215" i="14"/>
  <c r="O599" i="14"/>
  <c r="M603" i="14"/>
  <c r="I270" i="14"/>
  <c r="AD156" i="14"/>
  <c r="AD166" i="14"/>
  <c r="AD159" i="14"/>
  <c r="AD178" i="14"/>
  <c r="AD350" i="14"/>
  <c r="AD354" i="14"/>
  <c r="AD410" i="14"/>
  <c r="AD411" i="14"/>
  <c r="AD391" i="14"/>
  <c r="AD392" i="14"/>
  <c r="AD583" i="14"/>
  <c r="AD585" i="14"/>
  <c r="AD591" i="14"/>
  <c r="AD574" i="14"/>
  <c r="AD465" i="14"/>
  <c r="AD572" i="14"/>
  <c r="AD570" i="14"/>
  <c r="AD594" i="14"/>
  <c r="AD641" i="14"/>
  <c r="AD158" i="14"/>
  <c r="AD157" i="14"/>
  <c r="AD566" i="14"/>
  <c r="AD646" i="14"/>
  <c r="AD575" i="14"/>
  <c r="AD510" i="14"/>
  <c r="D182" i="14"/>
  <c r="J145" i="14"/>
  <c r="K152" i="14"/>
  <c r="J139" i="14"/>
  <c r="J436" i="14"/>
  <c r="J438" i="14"/>
  <c r="J440" i="14"/>
  <c r="J453" i="14"/>
  <c r="J123" i="14"/>
  <c r="J140" i="14"/>
  <c r="J124" i="14"/>
  <c r="J126" i="14"/>
  <c r="J125" i="14"/>
  <c r="D183" i="14"/>
  <c r="U191" i="14"/>
  <c r="V167" i="14"/>
  <c r="V171" i="14"/>
  <c r="V168" i="14"/>
  <c r="V172" i="14"/>
  <c r="V170" i="14"/>
  <c r="V212" i="14"/>
  <c r="H693" i="14"/>
  <c r="I93" i="9"/>
  <c r="I247" i="14"/>
  <c r="I539" i="14"/>
  <c r="S599" i="14"/>
  <c r="Q603" i="14"/>
  <c r="G253" i="14"/>
  <c r="H67" i="9"/>
  <c r="E192" i="14"/>
  <c r="H152" i="14"/>
  <c r="T447" i="14"/>
  <c r="T449" i="14"/>
  <c r="T451" i="14"/>
  <c r="T139" i="14"/>
  <c r="T134" i="14"/>
  <c r="T140" i="14"/>
  <c r="T135" i="14"/>
  <c r="I377" i="14"/>
  <c r="J373" i="14"/>
  <c r="I385" i="14"/>
  <c r="W445" i="14"/>
  <c r="X444" i="14"/>
  <c r="V507" i="14"/>
  <c r="V200" i="14"/>
  <c r="W287" i="14"/>
  <c r="W179" i="14"/>
  <c r="L519" i="14"/>
  <c r="M517" i="14"/>
  <c r="H256" i="14"/>
  <c r="F458" i="14"/>
  <c r="F460" i="14"/>
  <c r="G683" i="14"/>
  <c r="H87" i="9"/>
  <c r="P436" i="14"/>
  <c r="P438" i="14"/>
  <c r="P126" i="14"/>
  <c r="H78" i="9"/>
  <c r="G669" i="14"/>
  <c r="K527" i="14"/>
  <c r="J529" i="14"/>
  <c r="H236" i="14"/>
  <c r="I56" i="9"/>
  <c r="I81" i="9"/>
  <c r="H672" i="14"/>
  <c r="W437" i="14"/>
  <c r="V438" i="14"/>
  <c r="G473" i="14"/>
  <c r="G479" i="14"/>
  <c r="H472" i="14"/>
  <c r="E408" i="14"/>
  <c r="E409" i="14"/>
  <c r="F407" i="14"/>
  <c r="T482" i="14"/>
  <c r="H234" i="14"/>
  <c r="I54" i="9"/>
  <c r="I140" i="14"/>
  <c r="G274" i="14"/>
  <c r="J614" i="14"/>
  <c r="H453" i="14"/>
  <c r="I438" i="14"/>
  <c r="H266" i="14"/>
  <c r="I477" i="14"/>
  <c r="J475" i="14"/>
  <c r="D414" i="14"/>
  <c r="N144" i="14"/>
  <c r="M145" i="14"/>
  <c r="M152" i="14"/>
  <c r="M146" i="14"/>
  <c r="T469" i="14"/>
  <c r="I599" i="14"/>
  <c r="X200" i="14"/>
  <c r="Y287" i="14"/>
  <c r="Y179" i="14"/>
  <c r="H80" i="9"/>
  <c r="G671" i="14"/>
  <c r="G667" i="14"/>
  <c r="N580" i="14"/>
  <c r="M581" i="14"/>
  <c r="M433" i="14"/>
  <c r="L434" i="14"/>
  <c r="L440" i="14"/>
  <c r="L453" i="14"/>
  <c r="J545" i="14"/>
  <c r="I551" i="14"/>
  <c r="I61" i="9"/>
  <c r="H241" i="14"/>
  <c r="D317" i="14"/>
  <c r="I145" i="14"/>
  <c r="I152" i="14"/>
  <c r="I154" i="14"/>
  <c r="G289" i="14"/>
  <c r="H71" i="9"/>
  <c r="G265" i="21"/>
  <c r="G267" i="21"/>
  <c r="G228" i="21"/>
  <c r="H683" i="21"/>
  <c r="H683" i="20"/>
  <c r="E284" i="21"/>
  <c r="E316" i="21"/>
  <c r="E325" i="21"/>
  <c r="E692" i="21"/>
  <c r="E694" i="21"/>
  <c r="H253" i="21"/>
  <c r="H254" i="21"/>
  <c r="H255" i="21"/>
  <c r="H253" i="20"/>
  <c r="H254" i="20"/>
  <c r="H255" i="20"/>
  <c r="H668" i="21"/>
  <c r="H668" i="20"/>
  <c r="H670" i="20"/>
  <c r="H671" i="20"/>
  <c r="H678" i="20"/>
  <c r="H596" i="21"/>
  <c r="H657" i="21"/>
  <c r="H512" i="21"/>
  <c r="H764" i="21"/>
  <c r="H741" i="21"/>
  <c r="H463" i="21"/>
  <c r="H426" i="21"/>
  <c r="H149" i="21"/>
  <c r="H94" i="21"/>
  <c r="H605" i="21"/>
  <c r="H187" i="21"/>
  <c r="H332" i="21"/>
  <c r="H294" i="21"/>
  <c r="H206" i="21"/>
  <c r="H764" i="20"/>
  <c r="H657" i="20"/>
  <c r="H332" i="20"/>
  <c r="H426" i="20"/>
  <c r="H113" i="21"/>
  <c r="H512" i="20"/>
  <c r="H596" i="20"/>
  <c r="H294" i="20"/>
  <c r="H206" i="20"/>
  <c r="H741" i="20"/>
  <c r="H605" i="20"/>
  <c r="H463" i="20"/>
  <c r="H187" i="20"/>
  <c r="H94" i="20"/>
  <c r="H149" i="20"/>
  <c r="H113" i="20"/>
  <c r="I58" i="9"/>
  <c r="H238" i="21"/>
  <c r="H238" i="20"/>
  <c r="H238" i="14"/>
  <c r="E259" i="21"/>
  <c r="E263" i="21"/>
  <c r="E282" i="21"/>
  <c r="E313" i="21"/>
  <c r="E323" i="21"/>
  <c r="E663" i="21"/>
  <c r="E665" i="21"/>
  <c r="E679" i="21"/>
  <c r="E324" i="21"/>
  <c r="E687" i="21"/>
  <c r="E689" i="21"/>
  <c r="E696" i="21"/>
  <c r="F284" i="21"/>
  <c r="F316" i="21"/>
  <c r="H245" i="21"/>
  <c r="H246" i="21"/>
  <c r="H688" i="21"/>
  <c r="H688" i="20"/>
  <c r="I90" i="9"/>
  <c r="H688" i="14"/>
  <c r="H214" i="21"/>
  <c r="H214" i="20"/>
  <c r="J62" i="9"/>
  <c r="I242" i="21"/>
  <c r="I242" i="20"/>
  <c r="I239" i="21"/>
  <c r="I239" i="20"/>
  <c r="H755" i="21"/>
  <c r="H755" i="20"/>
  <c r="I46" i="9"/>
  <c r="H217" i="21"/>
  <c r="H217" i="20"/>
  <c r="H216" i="20"/>
  <c r="H219" i="20"/>
  <c r="H220" i="20"/>
  <c r="H221" i="20"/>
  <c r="H226" i="20"/>
  <c r="H217" i="14"/>
  <c r="H243" i="21"/>
  <c r="H243" i="20"/>
  <c r="F265" i="20"/>
  <c r="F267" i="20"/>
  <c r="F228" i="20"/>
  <c r="F259" i="20"/>
  <c r="F263" i="20"/>
  <c r="I236" i="21"/>
  <c r="I236" i="20"/>
  <c r="H726" i="21"/>
  <c r="H726" i="20"/>
  <c r="F248" i="21"/>
  <c r="F269" i="21"/>
  <c r="F271" i="21"/>
  <c r="H289" i="21"/>
  <c r="H290" i="21"/>
  <c r="H292" i="21"/>
  <c r="H289" i="20"/>
  <c r="H290" i="20"/>
  <c r="H292" i="20"/>
  <c r="H302" i="20"/>
  <c r="H727" i="21"/>
  <c r="H727" i="20"/>
  <c r="H667" i="21"/>
  <c r="H667" i="20"/>
  <c r="I234" i="21"/>
  <c r="I234" i="20"/>
  <c r="I693" i="21"/>
  <c r="I693" i="20"/>
  <c r="G678" i="20"/>
  <c r="H675" i="21"/>
  <c r="H675" i="20"/>
  <c r="H675" i="14"/>
  <c r="I84" i="9"/>
  <c r="H732" i="20"/>
  <c r="H732" i="21"/>
  <c r="G678" i="21"/>
  <c r="F228" i="21"/>
  <c r="F259" i="21"/>
  <c r="F265" i="21"/>
  <c r="F267" i="21"/>
  <c r="H235" i="21"/>
  <c r="H235" i="20"/>
  <c r="H671" i="21"/>
  <c r="I215" i="21"/>
  <c r="I215" i="20"/>
  <c r="G756" i="14"/>
  <c r="G756" i="21"/>
  <c r="G756" i="20"/>
  <c r="G269" i="21"/>
  <c r="G271" i="21"/>
  <c r="G283" i="21"/>
  <c r="G315" i="21"/>
  <c r="E259" i="20"/>
  <c r="E263" i="20"/>
  <c r="H674" i="21"/>
  <c r="H674" i="20"/>
  <c r="I672" i="21"/>
  <c r="I672" i="20"/>
  <c r="I240" i="21"/>
  <c r="I240" i="20"/>
  <c r="I233" i="21"/>
  <c r="I233" i="20"/>
  <c r="H235" i="14"/>
  <c r="H670" i="21"/>
  <c r="H218" i="21"/>
  <c r="H218" i="20"/>
  <c r="I237" i="21"/>
  <c r="I237" i="20"/>
  <c r="I223" i="21"/>
  <c r="I224" i="21"/>
  <c r="I223" i="20"/>
  <c r="H216" i="21"/>
  <c r="H219" i="21"/>
  <c r="H220" i="21"/>
  <c r="H221" i="21"/>
  <c r="H226" i="21"/>
  <c r="H669" i="21"/>
  <c r="H669" i="20"/>
  <c r="I241" i="21"/>
  <c r="I241" i="20"/>
  <c r="I55" i="9"/>
  <c r="I95" i="21"/>
  <c r="I95" i="20"/>
  <c r="H673" i="21"/>
  <c r="H673" i="20"/>
  <c r="I82" i="9"/>
  <c r="H673" i="14"/>
  <c r="H245" i="20"/>
  <c r="H246" i="20"/>
  <c r="I68" i="9"/>
  <c r="H254" i="14"/>
  <c r="M100" i="21"/>
  <c r="L227" i="21"/>
  <c r="L676" i="21"/>
  <c r="L677" i="21"/>
  <c r="K745" i="21"/>
  <c r="K766" i="21"/>
  <c r="N108" i="21"/>
  <c r="M274" i="21"/>
  <c r="Q101" i="21"/>
  <c r="P247" i="21"/>
  <c r="L320" i="21"/>
  <c r="M98" i="21"/>
  <c r="L642" i="21"/>
  <c r="L357" i="21"/>
  <c r="L359" i="21"/>
  <c r="L648" i="21"/>
  <c r="L738" i="21"/>
  <c r="L697" i="21"/>
  <c r="M270" i="21"/>
  <c r="N107" i="21"/>
  <c r="O103" i="21"/>
  <c r="N291" i="21"/>
  <c r="O256" i="21"/>
  <c r="P102" i="21"/>
  <c r="O106" i="21"/>
  <c r="N266" i="21"/>
  <c r="N256" i="20"/>
  <c r="O102" i="20"/>
  <c r="N103" i="20"/>
  <c r="M291" i="20"/>
  <c r="O227" i="20"/>
  <c r="P100" i="20"/>
  <c r="O676" i="20"/>
  <c r="O677" i="20"/>
  <c r="O247" i="20"/>
  <c r="P101" i="20"/>
  <c r="K654" i="21"/>
  <c r="K181" i="21"/>
  <c r="S401" i="21"/>
  <c r="S402" i="21"/>
  <c r="S356" i="21"/>
  <c r="I389" i="21"/>
  <c r="M419" i="21"/>
  <c r="M422" i="21"/>
  <c r="J287" i="21"/>
  <c r="I200" i="21"/>
  <c r="J179" i="21"/>
  <c r="J585" i="21"/>
  <c r="K541" i="21"/>
  <c r="L539" i="21"/>
  <c r="L287" i="21"/>
  <c r="K200" i="21"/>
  <c r="G259" i="21"/>
  <c r="F408" i="21"/>
  <c r="F409" i="21"/>
  <c r="O555" i="21"/>
  <c r="N559" i="21"/>
  <c r="I185" i="21"/>
  <c r="K484" i="21"/>
  <c r="L482" i="21"/>
  <c r="J212" i="21"/>
  <c r="J168" i="21"/>
  <c r="J172" i="21"/>
  <c r="I191" i="21"/>
  <c r="J167" i="21"/>
  <c r="J171" i="21"/>
  <c r="N475" i="21"/>
  <c r="M477" i="21"/>
  <c r="J458" i="21"/>
  <c r="J460" i="21"/>
  <c r="I378" i="21"/>
  <c r="N177" i="21"/>
  <c r="M178" i="21"/>
  <c r="R593" i="21"/>
  <c r="R594" i="21"/>
  <c r="G636" i="21"/>
  <c r="G633" i="21"/>
  <c r="G638" i="21"/>
  <c r="E708" i="21"/>
  <c r="E649" i="21"/>
  <c r="F618" i="21"/>
  <c r="K373" i="21"/>
  <c r="J385" i="21"/>
  <c r="J389" i="21"/>
  <c r="J377" i="21"/>
  <c r="J378" i="21"/>
  <c r="L179" i="21"/>
  <c r="L184" i="21"/>
  <c r="O545" i="21"/>
  <c r="N551" i="21"/>
  <c r="R401" i="21"/>
  <c r="R402" i="21"/>
  <c r="R356" i="21"/>
  <c r="D694" i="21"/>
  <c r="O401" i="21"/>
  <c r="O402" i="21"/>
  <c r="O356" i="21"/>
  <c r="N458" i="21"/>
  <c r="N460" i="21"/>
  <c r="D643" i="21"/>
  <c r="D329" i="21"/>
  <c r="D645" i="21"/>
  <c r="M165" i="21"/>
  <c r="Q614" i="21"/>
  <c r="V444" i="21"/>
  <c r="U445" i="21"/>
  <c r="U451" i="21"/>
  <c r="L615" i="21"/>
  <c r="L617" i="21"/>
  <c r="L629" i="21"/>
  <c r="L631" i="21"/>
  <c r="M611" i="21"/>
  <c r="G622" i="21"/>
  <c r="G619" i="21"/>
  <c r="K201" i="21"/>
  <c r="C159" i="21"/>
  <c r="C156" i="21"/>
  <c r="C7" i="21"/>
  <c r="C162" i="21"/>
  <c r="C8" i="21"/>
  <c r="C164" i="21"/>
  <c r="C176" i="21"/>
  <c r="C163" i="21"/>
  <c r="C158" i="21"/>
  <c r="C157" i="21"/>
  <c r="F325" i="21"/>
  <c r="T401" i="21"/>
  <c r="T402" i="21"/>
  <c r="T356" i="21"/>
  <c r="L471" i="21"/>
  <c r="K473" i="21"/>
  <c r="K479" i="21"/>
  <c r="K492" i="21"/>
  <c r="K494" i="21"/>
  <c r="N628" i="21"/>
  <c r="N483" i="21"/>
  <c r="M540" i="21"/>
  <c r="D684" i="21"/>
  <c r="C449" i="21"/>
  <c r="I575" i="21"/>
  <c r="G594" i="21"/>
  <c r="M527" i="21"/>
  <c r="L529" i="21"/>
  <c r="L535" i="21"/>
  <c r="K212" i="21"/>
  <c r="J191" i="21"/>
  <c r="K167" i="21"/>
  <c r="K171" i="21"/>
  <c r="K182" i="21"/>
  <c r="K168" i="21"/>
  <c r="K172" i="21"/>
  <c r="K183" i="21"/>
  <c r="F422" i="21"/>
  <c r="S593" i="21"/>
  <c r="S594" i="21"/>
  <c r="AD448" i="21"/>
  <c r="AD449" i="21"/>
  <c r="AC449" i="21"/>
  <c r="F263" i="21"/>
  <c r="O517" i="21"/>
  <c r="N519" i="21"/>
  <c r="J354" i="21"/>
  <c r="C350" i="21"/>
  <c r="K574" i="21"/>
  <c r="K575" i="21"/>
  <c r="O458" i="21"/>
  <c r="O460" i="21"/>
  <c r="G185" i="21"/>
  <c r="H636" i="21"/>
  <c r="H633" i="21"/>
  <c r="H638" i="21"/>
  <c r="G391" i="21"/>
  <c r="P533" i="21"/>
  <c r="Q531" i="21"/>
  <c r="O469" i="21"/>
  <c r="J494" i="21"/>
  <c r="J507" i="21"/>
  <c r="U646" i="21"/>
  <c r="U583" i="21"/>
  <c r="U585" i="21"/>
  <c r="U587" i="21"/>
  <c r="U575" i="21"/>
  <c r="U574" i="21"/>
  <c r="U510" i="21"/>
  <c r="U591" i="21"/>
  <c r="C591" i="21"/>
  <c r="U566" i="21"/>
  <c r="C566" i="21"/>
  <c r="U641" i="21"/>
  <c r="U570" i="21"/>
  <c r="C570" i="21"/>
  <c r="U594" i="21"/>
  <c r="U391" i="21"/>
  <c r="U392" i="21"/>
  <c r="U350" i="21"/>
  <c r="U354" i="21"/>
  <c r="U410" i="21"/>
  <c r="U572" i="21"/>
  <c r="C572" i="21"/>
  <c r="U465" i="21"/>
  <c r="U411" i="21"/>
  <c r="U156" i="21"/>
  <c r="U159" i="21"/>
  <c r="U158" i="21"/>
  <c r="U157" i="21"/>
  <c r="Q433" i="21"/>
  <c r="P434" i="21"/>
  <c r="P440" i="21"/>
  <c r="P453" i="21"/>
  <c r="O521" i="21"/>
  <c r="N523" i="21"/>
  <c r="N525" i="21"/>
  <c r="F632" i="21"/>
  <c r="Q401" i="21"/>
  <c r="Q402" i="21"/>
  <c r="Q356" i="21"/>
  <c r="Q593" i="21"/>
  <c r="Q594" i="21"/>
  <c r="T593" i="21"/>
  <c r="T594" i="21"/>
  <c r="F317" i="21"/>
  <c r="D277" i="21"/>
  <c r="D280" i="21"/>
  <c r="D282" i="21"/>
  <c r="D313" i="21"/>
  <c r="N419" i="21"/>
  <c r="N422" i="21"/>
  <c r="Y437" i="21"/>
  <c r="X438" i="21"/>
  <c r="L498" i="21"/>
  <c r="K501" i="21"/>
  <c r="K503" i="21"/>
  <c r="K507" i="21"/>
  <c r="P401" i="21"/>
  <c r="P402" i="21"/>
  <c r="P356" i="21"/>
  <c r="E277" i="21"/>
  <c r="E280" i="21"/>
  <c r="H622" i="21"/>
  <c r="H619" i="21"/>
  <c r="L766" i="20"/>
  <c r="F315" i="20"/>
  <c r="F324" i="20"/>
  <c r="L270" i="20"/>
  <c r="M107" i="20"/>
  <c r="M266" i="20"/>
  <c r="N106" i="20"/>
  <c r="O108" i="20"/>
  <c r="N274" i="20"/>
  <c r="M320" i="20"/>
  <c r="M738" i="20"/>
  <c r="M648" i="20"/>
  <c r="M357" i="20"/>
  <c r="M359" i="20"/>
  <c r="M697" i="20"/>
  <c r="N98" i="20"/>
  <c r="M642" i="20"/>
  <c r="G228" i="20"/>
  <c r="G265" i="20"/>
  <c r="G267" i="20"/>
  <c r="T419" i="20"/>
  <c r="T422" i="20"/>
  <c r="M529" i="20"/>
  <c r="N527" i="20"/>
  <c r="E622" i="20"/>
  <c r="E619" i="20"/>
  <c r="G392" i="20"/>
  <c r="D684" i="20"/>
  <c r="E326" i="20"/>
  <c r="E318" i="20"/>
  <c r="H388" i="20"/>
  <c r="H390" i="20"/>
  <c r="P555" i="20"/>
  <c r="O559" i="20"/>
  <c r="F301" i="20"/>
  <c r="F303" i="20"/>
  <c r="F204" i="20"/>
  <c r="G273" i="20"/>
  <c r="G275" i="20"/>
  <c r="G257" i="20"/>
  <c r="M482" i="20"/>
  <c r="L484" i="20"/>
  <c r="P628" i="20"/>
  <c r="L531" i="20"/>
  <c r="K533" i="20"/>
  <c r="K535" i="20"/>
  <c r="K574" i="20"/>
  <c r="K575" i="20"/>
  <c r="G301" i="20"/>
  <c r="G303" i="20"/>
  <c r="G317" i="20"/>
  <c r="G326" i="20"/>
  <c r="G682" i="20"/>
  <c r="G684" i="20"/>
  <c r="G204" i="20"/>
  <c r="G632" i="20"/>
  <c r="G248" i="20"/>
  <c r="G269" i="20"/>
  <c r="G271" i="20"/>
  <c r="D694" i="20"/>
  <c r="O566" i="20"/>
  <c r="C566" i="20"/>
  <c r="O570" i="20"/>
  <c r="C570" i="20"/>
  <c r="O583" i="20"/>
  <c r="O591" i="20"/>
  <c r="O572" i="20"/>
  <c r="C572" i="20"/>
  <c r="O465" i="20"/>
  <c r="O350" i="20"/>
  <c r="O159" i="20"/>
  <c r="O158" i="20"/>
  <c r="N591" i="20"/>
  <c r="C154" i="20"/>
  <c r="M469" i="20"/>
  <c r="J212" i="20"/>
  <c r="I191" i="20"/>
  <c r="I192" i="20"/>
  <c r="J167" i="20"/>
  <c r="J168" i="20"/>
  <c r="J172" i="20"/>
  <c r="K458" i="20"/>
  <c r="K460" i="20"/>
  <c r="L523" i="20"/>
  <c r="L525" i="20"/>
  <c r="M521" i="20"/>
  <c r="O611" i="20"/>
  <c r="N629" i="20"/>
  <c r="N631" i="20"/>
  <c r="N615" i="20"/>
  <c r="I654" i="20"/>
  <c r="I181" i="20"/>
  <c r="I185" i="20"/>
  <c r="L165" i="20"/>
  <c r="Q517" i="20"/>
  <c r="P519" i="20"/>
  <c r="G510" i="20"/>
  <c r="H301" i="20"/>
  <c r="H204" i="20"/>
  <c r="H632" i="20"/>
  <c r="D689" i="20"/>
  <c r="E636" i="20"/>
  <c r="E633" i="20"/>
  <c r="G359" i="20"/>
  <c r="O551" i="20"/>
  <c r="P545" i="20"/>
  <c r="H296" i="20"/>
  <c r="H195" i="20"/>
  <c r="H618" i="20"/>
  <c r="I224" i="20"/>
  <c r="M540" i="20"/>
  <c r="N483" i="20"/>
  <c r="F422" i="20"/>
  <c r="G402" i="20"/>
  <c r="F296" i="20"/>
  <c r="F195" i="20"/>
  <c r="F316" i="20"/>
  <c r="Q419" i="20"/>
  <c r="Q422" i="20"/>
  <c r="F408" i="20"/>
  <c r="P498" i="20"/>
  <c r="O501" i="20"/>
  <c r="O503" i="20"/>
  <c r="AA438" i="20"/>
  <c r="G593" i="20"/>
  <c r="G296" i="20"/>
  <c r="G195" i="20"/>
  <c r="G618" i="20"/>
  <c r="J287" i="20"/>
  <c r="I200" i="20"/>
  <c r="L475" i="20"/>
  <c r="K477" i="20"/>
  <c r="K479" i="20"/>
  <c r="K492" i="20"/>
  <c r="K494" i="20"/>
  <c r="L458" i="20"/>
  <c r="L460" i="20"/>
  <c r="M539" i="20"/>
  <c r="L541" i="20"/>
  <c r="G185" i="20"/>
  <c r="L177" i="20"/>
  <c r="K178" i="20"/>
  <c r="K179" i="20"/>
  <c r="K184" i="20"/>
  <c r="I231" i="20"/>
  <c r="M434" i="20"/>
  <c r="M440" i="20"/>
  <c r="M453" i="20"/>
  <c r="L373" i="20"/>
  <c r="K385" i="20"/>
  <c r="K377" i="20"/>
  <c r="K378" i="20"/>
  <c r="K404" i="20"/>
  <c r="K408" i="20"/>
  <c r="M124" i="20"/>
  <c r="M157" i="20"/>
  <c r="P401" i="20"/>
  <c r="P402" i="20"/>
  <c r="P356" i="20"/>
  <c r="P593" i="20"/>
  <c r="P594" i="20"/>
  <c r="W451" i="20"/>
  <c r="J179" i="20"/>
  <c r="I251" i="20"/>
  <c r="M471" i="20"/>
  <c r="L473" i="20"/>
  <c r="D277" i="20"/>
  <c r="D280" i="20"/>
  <c r="D282" i="20"/>
  <c r="D313" i="20"/>
  <c r="D640" i="20"/>
  <c r="M617" i="20"/>
  <c r="N614" i="20"/>
  <c r="X445" i="20"/>
  <c r="X451" i="20"/>
  <c r="F212" i="14"/>
  <c r="F224" i="14"/>
  <c r="F168" i="14"/>
  <c r="F172" i="14"/>
  <c r="F183" i="14"/>
  <c r="W191" i="14"/>
  <c r="W170" i="14"/>
  <c r="W654" i="14"/>
  <c r="F356" i="14"/>
  <c r="F359" i="14"/>
  <c r="F574" i="14"/>
  <c r="F575" i="14"/>
  <c r="W167" i="14"/>
  <c r="W171" i="14"/>
  <c r="E200" i="14"/>
  <c r="E201" i="14"/>
  <c r="E204" i="14"/>
  <c r="E632" i="14"/>
  <c r="E636" i="14"/>
  <c r="H615" i="14"/>
  <c r="H617" i="14"/>
  <c r="Y191" i="14"/>
  <c r="E414" i="14"/>
  <c r="E416" i="14"/>
  <c r="E710" i="14"/>
  <c r="F494" i="14"/>
  <c r="F509" i="14"/>
  <c r="F510" i="14"/>
  <c r="I611" i="14"/>
  <c r="I615" i="14"/>
  <c r="I617" i="14"/>
  <c r="X401" i="14"/>
  <c r="X402" i="14"/>
  <c r="X419" i="14"/>
  <c r="X422" i="14"/>
  <c r="F179" i="14"/>
  <c r="F184" i="14"/>
  <c r="F255" i="14"/>
  <c r="F273" i="14"/>
  <c r="F275" i="14"/>
  <c r="G168" i="14"/>
  <c r="G172" i="14"/>
  <c r="G183" i="14"/>
  <c r="V191" i="14"/>
  <c r="V192" i="14"/>
  <c r="K555" i="14"/>
  <c r="L555" i="14"/>
  <c r="Z356" i="14"/>
  <c r="X212" i="14"/>
  <c r="X224" i="14"/>
  <c r="AA212" i="14"/>
  <c r="AA224" i="14"/>
  <c r="Y356" i="14"/>
  <c r="AA168" i="14"/>
  <c r="AA172" i="14"/>
  <c r="AA167" i="14"/>
  <c r="AA171" i="14"/>
  <c r="F200" i="14"/>
  <c r="G287" i="14"/>
  <c r="G290" i="14"/>
  <c r="G292" i="14"/>
  <c r="G302" i="14"/>
  <c r="X167" i="14"/>
  <c r="X231" i="14"/>
  <c r="K154" i="14"/>
  <c r="K583" i="14"/>
  <c r="K585" i="14"/>
  <c r="K587" i="14"/>
  <c r="Z168" i="14"/>
  <c r="Z172" i="14"/>
  <c r="Z167" i="14"/>
  <c r="Z171" i="14"/>
  <c r="G167" i="14"/>
  <c r="G171" i="14"/>
  <c r="G182" i="14"/>
  <c r="W168" i="14"/>
  <c r="W172" i="14"/>
  <c r="Z191" i="14"/>
  <c r="G356" i="14"/>
  <c r="G359" i="14"/>
  <c r="G766" i="14"/>
  <c r="X170" i="14"/>
  <c r="X655" i="14"/>
  <c r="G170" i="14"/>
  <c r="G654" i="14"/>
  <c r="AB401" i="14"/>
  <c r="AB402" i="14"/>
  <c r="AB419" i="14"/>
  <c r="AB422" i="14"/>
  <c r="W401" i="14"/>
  <c r="W402" i="14"/>
  <c r="W419" i="14"/>
  <c r="W422" i="14"/>
  <c r="F245" i="14"/>
  <c r="F246" i="14"/>
  <c r="F269" i="14"/>
  <c r="F271" i="14"/>
  <c r="Z212" i="14"/>
  <c r="Z224" i="14"/>
  <c r="AA401" i="14"/>
  <c r="AA402" i="14"/>
  <c r="AA419" i="14"/>
  <c r="AA422" i="14"/>
  <c r="G574" i="14"/>
  <c r="G575" i="14"/>
  <c r="W200" i="14"/>
  <c r="X201" i="14"/>
  <c r="X204" i="14"/>
  <c r="X632" i="14"/>
  <c r="X636" i="14"/>
  <c r="X287" i="14"/>
  <c r="F231" i="14"/>
  <c r="Y200" i="14"/>
  <c r="Y201" i="14"/>
  <c r="Y204" i="14"/>
  <c r="Y632" i="14"/>
  <c r="Y636" i="14"/>
  <c r="V356" i="14"/>
  <c r="AB170" i="14"/>
  <c r="AB654" i="14"/>
  <c r="Z287" i="14"/>
  <c r="AB168" i="14"/>
  <c r="AB251" i="14"/>
  <c r="Y212" i="14"/>
  <c r="Y224" i="14"/>
  <c r="Y167" i="14"/>
  <c r="Y171" i="14"/>
  <c r="V179" i="14"/>
  <c r="F251" i="14"/>
  <c r="X191" i="14"/>
  <c r="V287" i="14"/>
  <c r="Y170" i="14"/>
  <c r="Y654" i="14"/>
  <c r="C126" i="14"/>
  <c r="E265" i="14"/>
  <c r="E267" i="14"/>
  <c r="AA179" i="14"/>
  <c r="F654" i="14"/>
  <c r="AA287" i="14"/>
  <c r="F191" i="14"/>
  <c r="F192" i="14"/>
  <c r="F296" i="14"/>
  <c r="E185" i="14"/>
  <c r="E269" i="14"/>
  <c r="E271" i="14"/>
  <c r="E283" i="14"/>
  <c r="E315" i="14"/>
  <c r="E324" i="14"/>
  <c r="E687" i="14"/>
  <c r="E689" i="14"/>
  <c r="AB287" i="14"/>
  <c r="L157" i="14"/>
  <c r="L158" i="14"/>
  <c r="L159" i="14"/>
  <c r="L178" i="14"/>
  <c r="L287" i="14"/>
  <c r="L350" i="14"/>
  <c r="L354" i="14"/>
  <c r="L401" i="14"/>
  <c r="L402" i="14"/>
  <c r="L566" i="14"/>
  <c r="C436" i="14"/>
  <c r="P139" i="14"/>
  <c r="C139" i="14"/>
  <c r="C6" i="14"/>
  <c r="AB179" i="14"/>
  <c r="AA201" i="14"/>
  <c r="AA301" i="14"/>
  <c r="L291" i="14"/>
  <c r="AA191" i="14"/>
  <c r="L570" i="14"/>
  <c r="L583" i="14"/>
  <c r="L585" i="14"/>
  <c r="L587" i="14"/>
  <c r="E257" i="14"/>
  <c r="E284" i="14"/>
  <c r="E316" i="14"/>
  <c r="E325" i="14"/>
  <c r="E692" i="14"/>
  <c r="E694" i="14"/>
  <c r="L572" i="14"/>
  <c r="AB171" i="14"/>
  <c r="L465" i="14"/>
  <c r="AB212" i="14"/>
  <c r="AB224" i="14"/>
  <c r="J676" i="14"/>
  <c r="J677" i="14"/>
  <c r="J227" i="14"/>
  <c r="L156" i="14"/>
  <c r="L166" i="14"/>
  <c r="L170" i="14"/>
  <c r="C121" i="14"/>
  <c r="G492" i="14"/>
  <c r="G494" i="14"/>
  <c r="G509" i="14"/>
  <c r="G510" i="14"/>
  <c r="I648" i="14"/>
  <c r="I738" i="14"/>
  <c r="I697" i="14"/>
  <c r="I642" i="14"/>
  <c r="I320" i="14"/>
  <c r="I357" i="14"/>
  <c r="J531" i="14"/>
  <c r="I533" i="14"/>
  <c r="I535" i="14"/>
  <c r="H540" i="14"/>
  <c r="H541" i="14"/>
  <c r="H484" i="14"/>
  <c r="I483" i="14"/>
  <c r="N118" i="14"/>
  <c r="M123" i="14"/>
  <c r="M140" i="14"/>
  <c r="N119" i="14"/>
  <c r="M124" i="14"/>
  <c r="Z448" i="14"/>
  <c r="Y449" i="14"/>
  <c r="N120" i="14"/>
  <c r="M125" i="14"/>
  <c r="H631" i="14"/>
  <c r="I628" i="14"/>
  <c r="J57" i="9"/>
  <c r="I237" i="14"/>
  <c r="I242" i="14"/>
  <c r="I98" i="9"/>
  <c r="H732" i="14"/>
  <c r="D284" i="14"/>
  <c r="D316" i="14"/>
  <c r="D325" i="14"/>
  <c r="H726" i="14"/>
  <c r="I96" i="9"/>
  <c r="D259" i="14"/>
  <c r="D263" i="14"/>
  <c r="H218" i="14"/>
  <c r="I47" i="9"/>
  <c r="H741" i="14"/>
  <c r="H463" i="14"/>
  <c r="H332" i="14"/>
  <c r="H426" i="14"/>
  <c r="H605" i="14"/>
  <c r="H149" i="14"/>
  <c r="H596" i="14"/>
  <c r="H764" i="14"/>
  <c r="I36" i="9"/>
  <c r="H94" i="14"/>
  <c r="H206" i="14"/>
  <c r="H113" i="14"/>
  <c r="H512" i="14"/>
  <c r="H657" i="14"/>
  <c r="H187" i="14"/>
  <c r="H294" i="14"/>
  <c r="I101" i="9"/>
  <c r="H755" i="14"/>
  <c r="H674" i="14"/>
  <c r="I83" i="9"/>
  <c r="I223" i="14"/>
  <c r="J49" i="9"/>
  <c r="I233" i="14"/>
  <c r="J53" i="9"/>
  <c r="J37" i="9"/>
  <c r="I95" i="14"/>
  <c r="H102" i="9"/>
  <c r="I156" i="14"/>
  <c r="I166" i="14"/>
  <c r="I158" i="14"/>
  <c r="I157" i="14"/>
  <c r="I159" i="14"/>
  <c r="I178" i="14"/>
  <c r="I350" i="14"/>
  <c r="I354" i="14"/>
  <c r="I566" i="14"/>
  <c r="I465" i="14"/>
  <c r="I572" i="14"/>
  <c r="I583" i="14"/>
  <c r="I585" i="14"/>
  <c r="I587" i="14"/>
  <c r="I570" i="14"/>
  <c r="K461" i="14"/>
  <c r="AB191" i="14"/>
  <c r="AC167" i="14"/>
  <c r="AC168" i="14"/>
  <c r="AC170" i="14"/>
  <c r="AC212" i="14"/>
  <c r="J458" i="14"/>
  <c r="J460" i="14"/>
  <c r="J461" i="14"/>
  <c r="F461" i="14"/>
  <c r="G391" i="14"/>
  <c r="K62" i="9"/>
  <c r="J242" i="14"/>
  <c r="AC401" i="14"/>
  <c r="AC402" i="14"/>
  <c r="AC356" i="14"/>
  <c r="L523" i="14"/>
  <c r="L525" i="14"/>
  <c r="M521" i="14"/>
  <c r="L458" i="14"/>
  <c r="L460" i="14"/>
  <c r="O144" i="14"/>
  <c r="O146" i="14"/>
  <c r="N145" i="14"/>
  <c r="N152" i="14"/>
  <c r="N146" i="14"/>
  <c r="N153" i="14"/>
  <c r="E195" i="14"/>
  <c r="E296" i="14"/>
  <c r="W224" i="14"/>
  <c r="G587" i="14"/>
  <c r="I236" i="14"/>
  <c r="J56" i="9"/>
  <c r="H154" i="14"/>
  <c r="J539" i="14"/>
  <c r="AD507" i="14"/>
  <c r="AD168" i="14"/>
  <c r="AD172" i="14"/>
  <c r="AC191" i="14"/>
  <c r="AD192" i="14"/>
  <c r="AD167" i="14"/>
  <c r="AD171" i="14"/>
  <c r="AD170" i="14"/>
  <c r="AD212" i="14"/>
  <c r="AB200" i="14"/>
  <c r="AB201" i="14"/>
  <c r="AC287" i="14"/>
  <c r="AC179" i="14"/>
  <c r="AA655" i="14"/>
  <c r="AA654" i="14"/>
  <c r="D622" i="14"/>
  <c r="D619" i="14"/>
  <c r="I378" i="14"/>
  <c r="AC200" i="14"/>
  <c r="AD201" i="14"/>
  <c r="AD287" i="14"/>
  <c r="AD179" i="14"/>
  <c r="I266" i="14"/>
  <c r="J55" i="9"/>
  <c r="I235" i="14"/>
  <c r="V224" i="14"/>
  <c r="P447" i="14"/>
  <c r="P449" i="14"/>
  <c r="P451" i="14"/>
  <c r="P135" i="14"/>
  <c r="C135" i="14"/>
  <c r="P134" i="14"/>
  <c r="C134" i="14"/>
  <c r="C131" i="14"/>
  <c r="I43" i="9"/>
  <c r="H214" i="14"/>
  <c r="K614" i="14"/>
  <c r="J61" i="9"/>
  <c r="I241" i="14"/>
  <c r="H274" i="14"/>
  <c r="Z419" i="14"/>
  <c r="Z422" i="14"/>
  <c r="N433" i="14"/>
  <c r="M434" i="14"/>
  <c r="M440" i="14"/>
  <c r="M453" i="14"/>
  <c r="D416" i="14"/>
  <c r="J477" i="14"/>
  <c r="K475" i="14"/>
  <c r="X251" i="14"/>
  <c r="I440" i="14"/>
  <c r="T599" i="14"/>
  <c r="R603" i="14"/>
  <c r="I693" i="14"/>
  <c r="J93" i="9"/>
  <c r="V654" i="14"/>
  <c r="V655" i="14"/>
  <c r="G678" i="14"/>
  <c r="D636" i="14"/>
  <c r="D633" i="14"/>
  <c r="N451" i="14"/>
  <c r="J60" i="9"/>
  <c r="I240" i="14"/>
  <c r="H289" i="14"/>
  <c r="I71" i="9"/>
  <c r="I234" i="14"/>
  <c r="J54" i="9"/>
  <c r="H683" i="14"/>
  <c r="I87" i="9"/>
  <c r="H253" i="14"/>
  <c r="I67" i="9"/>
  <c r="V251" i="14"/>
  <c r="J270" i="14"/>
  <c r="Y419" i="14"/>
  <c r="Y422" i="14"/>
  <c r="H668" i="14"/>
  <c r="I77" i="9"/>
  <c r="K545" i="14"/>
  <c r="J551" i="14"/>
  <c r="I80" i="9"/>
  <c r="H671" i="14"/>
  <c r="G603" i="14"/>
  <c r="J81" i="9"/>
  <c r="I672" i="14"/>
  <c r="H669" i="14"/>
  <c r="I78" i="9"/>
  <c r="Y444" i="14"/>
  <c r="X445" i="14"/>
  <c r="X451" i="14"/>
  <c r="I389" i="14"/>
  <c r="J247" i="14"/>
  <c r="V231" i="14"/>
  <c r="G404" i="14"/>
  <c r="G408" i="14"/>
  <c r="G419" i="14"/>
  <c r="G422" i="14"/>
  <c r="Z654" i="14"/>
  <c r="Z655" i="14"/>
  <c r="AB231" i="14"/>
  <c r="I256" i="14"/>
  <c r="W451" i="14"/>
  <c r="K373" i="14"/>
  <c r="J377" i="14"/>
  <c r="J378" i="14"/>
  <c r="J385" i="14"/>
  <c r="J389" i="14"/>
  <c r="J599" i="14"/>
  <c r="H603" i="14"/>
  <c r="I79" i="9"/>
  <c r="H670" i="14"/>
  <c r="I97" i="9"/>
  <c r="H727" i="14"/>
  <c r="U469" i="14"/>
  <c r="G221" i="14"/>
  <c r="G224" i="14"/>
  <c r="F402" i="14"/>
  <c r="D185" i="14"/>
  <c r="D283" i="14"/>
  <c r="D315" i="14"/>
  <c r="V201" i="14"/>
  <c r="J59" i="9"/>
  <c r="I239" i="14"/>
  <c r="AC507" i="14"/>
  <c r="U482" i="14"/>
  <c r="X437" i="14"/>
  <c r="W438" i="14"/>
  <c r="K529" i="14"/>
  <c r="L527" i="14"/>
  <c r="AD356" i="14"/>
  <c r="AD401" i="14"/>
  <c r="AD402" i="14"/>
  <c r="J44" i="9"/>
  <c r="I215" i="14"/>
  <c r="Y251" i="14"/>
  <c r="V419" i="14"/>
  <c r="V422" i="14"/>
  <c r="M153" i="14"/>
  <c r="M154" i="14"/>
  <c r="H458" i="14"/>
  <c r="H460" i="14"/>
  <c r="J498" i="14"/>
  <c r="I501" i="14"/>
  <c r="I503" i="14"/>
  <c r="I45" i="9"/>
  <c r="H216" i="14"/>
  <c r="H219" i="14"/>
  <c r="H220" i="14"/>
  <c r="F594" i="14"/>
  <c r="F392" i="14"/>
  <c r="D326" i="14"/>
  <c r="H667" i="14"/>
  <c r="J152" i="14"/>
  <c r="J154" i="14"/>
  <c r="I472" i="14"/>
  <c r="H473" i="14"/>
  <c r="H479" i="14"/>
  <c r="M519" i="14"/>
  <c r="N517" i="14"/>
  <c r="O580" i="14"/>
  <c r="N581" i="14"/>
  <c r="M471" i="14"/>
  <c r="I63" i="9"/>
  <c r="H243" i="14"/>
  <c r="H228" i="21"/>
  <c r="H265" i="21"/>
  <c r="H267" i="21"/>
  <c r="H265" i="20"/>
  <c r="H267" i="20"/>
  <c r="H228" i="20"/>
  <c r="H756" i="14"/>
  <c r="H756" i="21"/>
  <c r="H756" i="20"/>
  <c r="I755" i="21"/>
  <c r="I755" i="20"/>
  <c r="I732" i="21"/>
  <c r="I732" i="20"/>
  <c r="H269" i="20"/>
  <c r="H271" i="20"/>
  <c r="H248" i="20"/>
  <c r="H283" i="20"/>
  <c r="H315" i="20"/>
  <c r="H248" i="21"/>
  <c r="H269" i="21"/>
  <c r="H271" i="21"/>
  <c r="I243" i="21"/>
  <c r="I243" i="20"/>
  <c r="J672" i="21"/>
  <c r="J672" i="20"/>
  <c r="I673" i="21"/>
  <c r="I673" i="20"/>
  <c r="I673" i="14"/>
  <c r="J82" i="9"/>
  <c r="J95" i="21"/>
  <c r="J95" i="20"/>
  <c r="H678" i="21"/>
  <c r="I667" i="21"/>
  <c r="I667" i="20"/>
  <c r="I670" i="21"/>
  <c r="I670" i="20"/>
  <c r="K242" i="21"/>
  <c r="K242" i="20"/>
  <c r="I675" i="21"/>
  <c r="I675" i="20"/>
  <c r="I675" i="14"/>
  <c r="J84" i="9"/>
  <c r="H273" i="20"/>
  <c r="H275" i="20"/>
  <c r="H257" i="20"/>
  <c r="J240" i="21"/>
  <c r="J240" i="20"/>
  <c r="J233" i="21"/>
  <c r="J233" i="20"/>
  <c r="J223" i="21"/>
  <c r="J223" i="20"/>
  <c r="I218" i="21"/>
  <c r="I218" i="20"/>
  <c r="J242" i="21"/>
  <c r="J242" i="20"/>
  <c r="H257" i="21"/>
  <c r="H273" i="21"/>
  <c r="H275" i="21"/>
  <c r="I253" i="21"/>
  <c r="I253" i="20"/>
  <c r="I254" i="20"/>
  <c r="I255" i="20"/>
  <c r="I273" i="20"/>
  <c r="I275" i="20"/>
  <c r="I683" i="21"/>
  <c r="I683" i="20"/>
  <c r="J693" i="21"/>
  <c r="J693" i="20"/>
  <c r="H302" i="21"/>
  <c r="H303" i="21"/>
  <c r="H317" i="21"/>
  <c r="H326" i="21"/>
  <c r="H682" i="21"/>
  <c r="H684" i="21"/>
  <c r="I238" i="21"/>
  <c r="I245" i="21"/>
  <c r="I246" i="21"/>
  <c r="I238" i="20"/>
  <c r="I245" i="20"/>
  <c r="I246" i="20"/>
  <c r="J58" i="9"/>
  <c r="I238" i="14"/>
  <c r="J239" i="21"/>
  <c r="J239" i="20"/>
  <c r="J234" i="21"/>
  <c r="J234" i="20"/>
  <c r="J241" i="21"/>
  <c r="J241" i="20"/>
  <c r="I235" i="21"/>
  <c r="I235" i="20"/>
  <c r="J68" i="9"/>
  <c r="I254" i="21"/>
  <c r="I254" i="14"/>
  <c r="I727" i="21"/>
  <c r="I727" i="20"/>
  <c r="J237" i="21"/>
  <c r="J237" i="20"/>
  <c r="I671" i="21"/>
  <c r="I671" i="20"/>
  <c r="I289" i="21"/>
  <c r="I290" i="21"/>
  <c r="I292" i="21"/>
  <c r="I302" i="21"/>
  <c r="I289" i="20"/>
  <c r="I290" i="20"/>
  <c r="I292" i="20"/>
  <c r="I302" i="20"/>
  <c r="I596" i="21"/>
  <c r="I657" i="21"/>
  <c r="I512" i="21"/>
  <c r="I605" i="21"/>
  <c r="I741" i="21"/>
  <c r="I463" i="21"/>
  <c r="I764" i="21"/>
  <c r="I426" i="21"/>
  <c r="I149" i="21"/>
  <c r="I94" i="21"/>
  <c r="I332" i="21"/>
  <c r="I113" i="21"/>
  <c r="I605" i="20"/>
  <c r="I187" i="21"/>
  <c r="I294" i="21"/>
  <c r="I206" i="21"/>
  <c r="I426" i="20"/>
  <c r="I657" i="20"/>
  <c r="I764" i="20"/>
  <c r="I512" i="20"/>
  <c r="I596" i="20"/>
  <c r="I332" i="20"/>
  <c r="I294" i="20"/>
  <c r="I206" i="20"/>
  <c r="I741" i="20"/>
  <c r="I463" i="20"/>
  <c r="I187" i="20"/>
  <c r="I94" i="20"/>
  <c r="I149" i="20"/>
  <c r="I113" i="20"/>
  <c r="I726" i="21"/>
  <c r="I726" i="20"/>
  <c r="F283" i="21"/>
  <c r="F315" i="21"/>
  <c r="F324" i="21"/>
  <c r="F687" i="21"/>
  <c r="I217" i="21"/>
  <c r="I216" i="21"/>
  <c r="I219" i="21"/>
  <c r="I220" i="21"/>
  <c r="I221" i="21"/>
  <c r="I226" i="21"/>
  <c r="I217" i="20"/>
  <c r="I216" i="20"/>
  <c r="I219" i="20"/>
  <c r="I220" i="20"/>
  <c r="I221" i="20"/>
  <c r="I226" i="20"/>
  <c r="I217" i="14"/>
  <c r="J46" i="9"/>
  <c r="J235" i="21"/>
  <c r="J235" i="20"/>
  <c r="I668" i="21"/>
  <c r="I668" i="20"/>
  <c r="I674" i="21"/>
  <c r="I674" i="20"/>
  <c r="H303" i="20"/>
  <c r="H317" i="20"/>
  <c r="H326" i="20"/>
  <c r="H682" i="20"/>
  <c r="H684" i="20"/>
  <c r="E318" i="21"/>
  <c r="E652" i="21"/>
  <c r="I688" i="21"/>
  <c r="I688" i="20"/>
  <c r="J90" i="9"/>
  <c r="I688" i="14"/>
  <c r="J236" i="21"/>
  <c r="J236" i="20"/>
  <c r="J215" i="21"/>
  <c r="J215" i="20"/>
  <c r="I669" i="21"/>
  <c r="I669" i="20"/>
  <c r="I214" i="21"/>
  <c r="I214" i="20"/>
  <c r="E277" i="20"/>
  <c r="E280" i="20"/>
  <c r="E282" i="20"/>
  <c r="E313" i="20"/>
  <c r="E323" i="20"/>
  <c r="E663" i="20"/>
  <c r="M227" i="21"/>
  <c r="M676" i="21"/>
  <c r="M677" i="21"/>
  <c r="N100" i="21"/>
  <c r="P256" i="21"/>
  <c r="Q102" i="21"/>
  <c r="L766" i="21"/>
  <c r="L745" i="21"/>
  <c r="N98" i="21"/>
  <c r="M642" i="21"/>
  <c r="M357" i="21"/>
  <c r="M359" i="21"/>
  <c r="M648" i="21"/>
  <c r="M738" i="21"/>
  <c r="M697" i="21"/>
  <c r="M320" i="21"/>
  <c r="P103" i="21"/>
  <c r="O291" i="21"/>
  <c r="N270" i="21"/>
  <c r="O107" i="21"/>
  <c r="R101" i="21"/>
  <c r="Q247" i="21"/>
  <c r="O108" i="21"/>
  <c r="N274" i="21"/>
  <c r="P106" i="21"/>
  <c r="O266" i="21"/>
  <c r="Q101" i="20"/>
  <c r="P247" i="20"/>
  <c r="P227" i="20"/>
  <c r="P676" i="20"/>
  <c r="P677" i="20"/>
  <c r="Q100" i="20"/>
  <c r="O103" i="20"/>
  <c r="N291" i="20"/>
  <c r="P102" i="20"/>
  <c r="O256" i="20"/>
  <c r="O461" i="21"/>
  <c r="J182" i="21"/>
  <c r="J183" i="21"/>
  <c r="E709" i="21"/>
  <c r="E698" i="21"/>
  <c r="E651" i="21"/>
  <c r="E653" i="21"/>
  <c r="D323" i="21"/>
  <c r="J509" i="21"/>
  <c r="M287" i="21"/>
  <c r="L200" i="21"/>
  <c r="O559" i="21"/>
  <c r="P555" i="21"/>
  <c r="J184" i="21"/>
  <c r="E298" i="21"/>
  <c r="E306" i="21"/>
  <c r="E297" i="21"/>
  <c r="D298" i="21"/>
  <c r="D297" i="21"/>
  <c r="P469" i="21"/>
  <c r="F692" i="21"/>
  <c r="N178" i="21"/>
  <c r="N179" i="21"/>
  <c r="N184" i="21"/>
  <c r="O177" i="21"/>
  <c r="K185" i="21"/>
  <c r="F277" i="21"/>
  <c r="F280" i="21"/>
  <c r="F282" i="21"/>
  <c r="F313" i="21"/>
  <c r="F323" i="21"/>
  <c r="F663" i="21"/>
  <c r="T419" i="21"/>
  <c r="T422" i="21"/>
  <c r="Q419" i="21"/>
  <c r="Q422" i="21"/>
  <c r="K301" i="21"/>
  <c r="K204" i="21"/>
  <c r="K632" i="21"/>
  <c r="L373" i="21"/>
  <c r="K385" i="21"/>
  <c r="K389" i="21"/>
  <c r="K377" i="21"/>
  <c r="K378" i="21"/>
  <c r="K404" i="21"/>
  <c r="K408" i="21"/>
  <c r="M179" i="21"/>
  <c r="M184" i="21"/>
  <c r="J231" i="21"/>
  <c r="J201" i="21"/>
  <c r="I201" i="21"/>
  <c r="J587" i="21"/>
  <c r="C585" i="21"/>
  <c r="P419" i="21"/>
  <c r="P422" i="21"/>
  <c r="R531" i="21"/>
  <c r="Q533" i="21"/>
  <c r="N527" i="21"/>
  <c r="M529" i="21"/>
  <c r="M535" i="21"/>
  <c r="G624" i="21"/>
  <c r="W444" i="21"/>
  <c r="V445" i="21"/>
  <c r="V451" i="21"/>
  <c r="D708" i="21"/>
  <c r="D649" i="21"/>
  <c r="F410" i="21"/>
  <c r="R614" i="21"/>
  <c r="F622" i="21"/>
  <c r="F619" i="21"/>
  <c r="J192" i="21"/>
  <c r="I192" i="21"/>
  <c r="G263" i="21"/>
  <c r="F636" i="21"/>
  <c r="F633" i="21"/>
  <c r="O483" i="21"/>
  <c r="N540" i="21"/>
  <c r="M615" i="21"/>
  <c r="M617" i="21"/>
  <c r="N611" i="21"/>
  <c r="M629" i="21"/>
  <c r="M631" i="21"/>
  <c r="J251" i="21"/>
  <c r="G392" i="21"/>
  <c r="R419" i="21"/>
  <c r="R422" i="21"/>
  <c r="J224" i="21"/>
  <c r="L201" i="21"/>
  <c r="J654" i="21"/>
  <c r="J181" i="21"/>
  <c r="M498" i="21"/>
  <c r="L501" i="21"/>
  <c r="L503" i="21"/>
  <c r="L507" i="21"/>
  <c r="F326" i="21"/>
  <c r="P521" i="21"/>
  <c r="O523" i="21"/>
  <c r="O525" i="21"/>
  <c r="U507" i="21"/>
  <c r="H388" i="21"/>
  <c r="H390" i="21"/>
  <c r="O628" i="21"/>
  <c r="L167" i="21"/>
  <c r="L171" i="21"/>
  <c r="L182" i="21"/>
  <c r="K191" i="21"/>
  <c r="L168" i="21"/>
  <c r="L212" i="21"/>
  <c r="N461" i="21"/>
  <c r="E767" i="21"/>
  <c r="E746" i="21"/>
  <c r="J461" i="21"/>
  <c r="G324" i="21"/>
  <c r="G687" i="21"/>
  <c r="G689" i="21"/>
  <c r="G318" i="21"/>
  <c r="G652" i="21"/>
  <c r="U593" i="21"/>
  <c r="J401" i="21"/>
  <c r="J356" i="21"/>
  <c r="C354" i="21"/>
  <c r="K231" i="21"/>
  <c r="K509" i="21"/>
  <c r="N165" i="21"/>
  <c r="O551" i="21"/>
  <c r="P545" i="21"/>
  <c r="L484" i="21"/>
  <c r="M482" i="21"/>
  <c r="L541" i="21"/>
  <c r="L574" i="21"/>
  <c r="M539" i="21"/>
  <c r="Z437" i="21"/>
  <c r="Y438" i="21"/>
  <c r="P458" i="21"/>
  <c r="P460" i="21"/>
  <c r="M471" i="21"/>
  <c r="L473" i="21"/>
  <c r="L479" i="21"/>
  <c r="L492" i="21"/>
  <c r="L494" i="21"/>
  <c r="S419" i="21"/>
  <c r="S422" i="21"/>
  <c r="H624" i="21"/>
  <c r="R433" i="21"/>
  <c r="Q434" i="21"/>
  <c r="Q440" i="21"/>
  <c r="U401" i="21"/>
  <c r="U402" i="21"/>
  <c r="U356" i="21"/>
  <c r="C465" i="21"/>
  <c r="P517" i="21"/>
  <c r="O519" i="21"/>
  <c r="K251" i="21"/>
  <c r="O419" i="21"/>
  <c r="O422" i="21"/>
  <c r="O475" i="21"/>
  <c r="N477" i="21"/>
  <c r="C583" i="21"/>
  <c r="N107" i="20"/>
  <c r="M270" i="20"/>
  <c r="O274" i="20"/>
  <c r="P108" i="20"/>
  <c r="N266" i="20"/>
  <c r="O106" i="20"/>
  <c r="N320" i="20"/>
  <c r="N738" i="20"/>
  <c r="N648" i="20"/>
  <c r="N357" i="20"/>
  <c r="N359" i="20"/>
  <c r="N697" i="20"/>
  <c r="N642" i="20"/>
  <c r="O98" i="20"/>
  <c r="M745" i="20"/>
  <c r="M766" i="20"/>
  <c r="L461" i="20"/>
  <c r="K509" i="20"/>
  <c r="N471" i="20"/>
  <c r="M473" i="20"/>
  <c r="G594" i="20"/>
  <c r="Q519" i="20"/>
  <c r="R517" i="20"/>
  <c r="L535" i="20"/>
  <c r="L574" i="20"/>
  <c r="L575" i="20"/>
  <c r="O354" i="20"/>
  <c r="C350" i="20"/>
  <c r="E682" i="20"/>
  <c r="AB438" i="20"/>
  <c r="F325" i="20"/>
  <c r="N540" i="20"/>
  <c r="O483" i="20"/>
  <c r="E638" i="20"/>
  <c r="K212" i="20"/>
  <c r="J191" i="20"/>
  <c r="K168" i="20"/>
  <c r="K167" i="20"/>
  <c r="K171" i="20"/>
  <c r="K182" i="20"/>
  <c r="O585" i="20"/>
  <c r="C583" i="20"/>
  <c r="J200" i="20"/>
  <c r="K287" i="20"/>
  <c r="L477" i="20"/>
  <c r="L479" i="20"/>
  <c r="L492" i="20"/>
  <c r="L494" i="20"/>
  <c r="L509" i="20"/>
  <c r="L510" i="20"/>
  <c r="M475" i="20"/>
  <c r="C176" i="20"/>
  <c r="C164" i="20"/>
  <c r="C156" i="20"/>
  <c r="C7" i="20"/>
  <c r="C162" i="20"/>
  <c r="C8" i="20"/>
  <c r="C158" i="20"/>
  <c r="C163" i="20"/>
  <c r="C159" i="20"/>
  <c r="F632" i="20"/>
  <c r="N124" i="20"/>
  <c r="N157" i="20"/>
  <c r="M177" i="20"/>
  <c r="L178" i="20"/>
  <c r="F618" i="20"/>
  <c r="I201" i="20"/>
  <c r="M165" i="20"/>
  <c r="K461" i="20"/>
  <c r="F317" i="20"/>
  <c r="F318" i="20"/>
  <c r="F652" i="20"/>
  <c r="Y445" i="20"/>
  <c r="Y451" i="20"/>
  <c r="L533" i="20"/>
  <c r="M531" i="20"/>
  <c r="J184" i="20"/>
  <c r="H324" i="20"/>
  <c r="H687" i="20"/>
  <c r="H689" i="20"/>
  <c r="H636" i="20"/>
  <c r="H633" i="20"/>
  <c r="J183" i="20"/>
  <c r="N593" i="20"/>
  <c r="N594" i="20"/>
  <c r="C591" i="20"/>
  <c r="O507" i="20"/>
  <c r="C465" i="20"/>
  <c r="Q628" i="20"/>
  <c r="N617" i="20"/>
  <c r="O614" i="20"/>
  <c r="K389" i="20"/>
  <c r="Q498" i="20"/>
  <c r="P501" i="20"/>
  <c r="P503" i="20"/>
  <c r="P507" i="20"/>
  <c r="J654" i="20"/>
  <c r="J181" i="20"/>
  <c r="H622" i="20"/>
  <c r="H619" i="20"/>
  <c r="J251" i="20"/>
  <c r="Q555" i="20"/>
  <c r="P559" i="20"/>
  <c r="G259" i="20"/>
  <c r="M373" i="20"/>
  <c r="L385" i="20"/>
  <c r="L389" i="20"/>
  <c r="L377" i="20"/>
  <c r="L378" i="20"/>
  <c r="L404" i="20"/>
  <c r="L408" i="20"/>
  <c r="J231" i="20"/>
  <c r="H391" i="20"/>
  <c r="I388" i="20"/>
  <c r="I390" i="20"/>
  <c r="D643" i="20"/>
  <c r="D329" i="20"/>
  <c r="D645" i="20"/>
  <c r="M458" i="20"/>
  <c r="M460" i="20"/>
  <c r="N539" i="20"/>
  <c r="M541" i="20"/>
  <c r="G622" i="20"/>
  <c r="G619" i="20"/>
  <c r="F409" i="20"/>
  <c r="G404" i="20"/>
  <c r="G419" i="20"/>
  <c r="Q545" i="20"/>
  <c r="P551" i="20"/>
  <c r="J171" i="20"/>
  <c r="M484" i="20"/>
  <c r="N482" i="20"/>
  <c r="F277" i="20"/>
  <c r="F280" i="20"/>
  <c r="F282" i="20"/>
  <c r="F313" i="20"/>
  <c r="F323" i="20"/>
  <c r="F663" i="20"/>
  <c r="E624" i="20"/>
  <c r="D323" i="20"/>
  <c r="N434" i="20"/>
  <c r="N440" i="20"/>
  <c r="N453" i="20"/>
  <c r="J192" i="20"/>
  <c r="D297" i="20"/>
  <c r="D298" i="20"/>
  <c r="I296" i="20"/>
  <c r="I195" i="20"/>
  <c r="I618" i="20"/>
  <c r="P611" i="20"/>
  <c r="O615" i="20"/>
  <c r="O629" i="20"/>
  <c r="O631" i="20"/>
  <c r="J224" i="20"/>
  <c r="G283" i="20"/>
  <c r="G315" i="20"/>
  <c r="E652" i="20"/>
  <c r="O527" i="20"/>
  <c r="N529" i="20"/>
  <c r="P419" i="20"/>
  <c r="P422" i="20"/>
  <c r="G766" i="20"/>
  <c r="G745" i="20"/>
  <c r="M523" i="20"/>
  <c r="M525" i="20"/>
  <c r="N521" i="20"/>
  <c r="N469" i="20"/>
  <c r="G636" i="20"/>
  <c r="G633" i="20"/>
  <c r="G638" i="20"/>
  <c r="G284" i="20"/>
  <c r="G316" i="20"/>
  <c r="G325" i="20"/>
  <c r="G692" i="20"/>
  <c r="G694" i="20"/>
  <c r="F687" i="20"/>
  <c r="K591" i="14"/>
  <c r="F185" i="14"/>
  <c r="X192" i="14"/>
  <c r="X296" i="14"/>
  <c r="F221" i="14"/>
  <c r="F226" i="14"/>
  <c r="F265" i="14"/>
  <c r="F267" i="14"/>
  <c r="W655" i="14"/>
  <c r="K350" i="14"/>
  <c r="K354" i="14"/>
  <c r="K401" i="14"/>
  <c r="K402" i="14"/>
  <c r="E301" i="14"/>
  <c r="K158" i="14"/>
  <c r="K157" i="14"/>
  <c r="E633" i="14"/>
  <c r="E638" i="14"/>
  <c r="K572" i="14"/>
  <c r="AB172" i="14"/>
  <c r="K465" i="14"/>
  <c r="E303" i="14"/>
  <c r="E317" i="14"/>
  <c r="E326" i="14"/>
  <c r="E682" i="14"/>
  <c r="E684" i="14"/>
  <c r="K566" i="14"/>
  <c r="F201" i="14"/>
  <c r="F204" i="14"/>
  <c r="Z192" i="14"/>
  <c r="Z296" i="14"/>
  <c r="W231" i="14"/>
  <c r="J611" i="14"/>
  <c r="J615" i="14"/>
  <c r="J617" i="14"/>
  <c r="I629" i="14"/>
  <c r="I631" i="14"/>
  <c r="G255" i="14"/>
  <c r="G257" i="14"/>
  <c r="G251" i="14"/>
  <c r="W201" i="14"/>
  <c r="W204" i="14"/>
  <c r="W632" i="14"/>
  <c r="W636" i="14"/>
  <c r="AA251" i="14"/>
  <c r="F257" i="14"/>
  <c r="F284" i="14"/>
  <c r="F316" i="14"/>
  <c r="F325" i="14"/>
  <c r="F692" i="14"/>
  <c r="F694" i="14"/>
  <c r="AA231" i="14"/>
  <c r="AB192" i="14"/>
  <c r="AB296" i="14"/>
  <c r="K559" i="14"/>
  <c r="X171" i="14"/>
  <c r="W251" i="14"/>
  <c r="G181" i="14"/>
  <c r="G185" i="14"/>
  <c r="W192" i="14"/>
  <c r="W195" i="14"/>
  <c r="W618" i="14"/>
  <c r="W622" i="14"/>
  <c r="X654" i="14"/>
  <c r="G745" i="14"/>
  <c r="K159" i="14"/>
  <c r="K178" i="14"/>
  <c r="K179" i="14"/>
  <c r="K184" i="14"/>
  <c r="K156" i="14"/>
  <c r="K166" i="14"/>
  <c r="K170" i="14"/>
  <c r="K570" i="14"/>
  <c r="G231" i="14"/>
  <c r="Z231" i="14"/>
  <c r="Y231" i="14"/>
  <c r="F195" i="14"/>
  <c r="F618" i="14"/>
  <c r="F619" i="14"/>
  <c r="L179" i="14"/>
  <c r="L184" i="14"/>
  <c r="G245" i="14"/>
  <c r="G246" i="14"/>
  <c r="G248" i="14"/>
  <c r="Z251" i="14"/>
  <c r="F248" i="14"/>
  <c r="F283" i="14"/>
  <c r="F315" i="14"/>
  <c r="F324" i="14"/>
  <c r="F687" i="14"/>
  <c r="F689" i="14"/>
  <c r="K57" i="9"/>
  <c r="J237" i="14"/>
  <c r="AA192" i="14"/>
  <c r="AA195" i="14"/>
  <c r="AA618" i="14"/>
  <c r="AA622" i="14"/>
  <c r="Z201" i="14"/>
  <c r="C447" i="14"/>
  <c r="AB655" i="14"/>
  <c r="Y655" i="14"/>
  <c r="L356" i="14"/>
  <c r="Y192" i="14"/>
  <c r="L168" i="14"/>
  <c r="L172" i="14"/>
  <c r="AA204" i="14"/>
  <c r="AA632" i="14"/>
  <c r="AA636" i="14"/>
  <c r="Y301" i="14"/>
  <c r="P599" i="14"/>
  <c r="N603" i="14"/>
  <c r="C603" i="14"/>
  <c r="M291" i="14"/>
  <c r="L167" i="14"/>
  <c r="L171" i="14"/>
  <c r="N154" i="14"/>
  <c r="N157" i="14"/>
  <c r="L181" i="14"/>
  <c r="K227" i="14"/>
  <c r="K676" i="14"/>
  <c r="K677" i="14"/>
  <c r="K593" i="14"/>
  <c r="K594" i="14"/>
  <c r="L212" i="14"/>
  <c r="E259" i="14"/>
  <c r="E263" i="14"/>
  <c r="J533" i="14"/>
  <c r="J535" i="14"/>
  <c r="K531" i="14"/>
  <c r="H492" i="14"/>
  <c r="AA448" i="14"/>
  <c r="Z449" i="14"/>
  <c r="X301" i="14"/>
  <c r="O119" i="14"/>
  <c r="N124" i="14"/>
  <c r="J357" i="14"/>
  <c r="J320" i="14"/>
  <c r="J697" i="14"/>
  <c r="J642" i="14"/>
  <c r="J738" i="14"/>
  <c r="J648" i="14"/>
  <c r="AC201" i="14"/>
  <c r="AC204" i="14"/>
  <c r="AC632" i="14"/>
  <c r="AC636" i="14"/>
  <c r="O118" i="14"/>
  <c r="N123" i="14"/>
  <c r="J483" i="14"/>
  <c r="I484" i="14"/>
  <c r="I540" i="14"/>
  <c r="I541" i="14"/>
  <c r="I574" i="14"/>
  <c r="I575" i="14"/>
  <c r="J628" i="14"/>
  <c r="O120" i="14"/>
  <c r="N125" i="14"/>
  <c r="I732" i="14"/>
  <c r="J98" i="9"/>
  <c r="I102" i="9"/>
  <c r="I726" i="14"/>
  <c r="J96" i="9"/>
  <c r="I741" i="14"/>
  <c r="I206" i="14"/>
  <c r="I149" i="14"/>
  <c r="I113" i="14"/>
  <c r="I94" i="14"/>
  <c r="I512" i="14"/>
  <c r="I332" i="14"/>
  <c r="I426" i="14"/>
  <c r="I294" i="14"/>
  <c r="I463" i="14"/>
  <c r="I596" i="14"/>
  <c r="I187" i="14"/>
  <c r="J36" i="9"/>
  <c r="I764" i="14"/>
  <c r="I605" i="14"/>
  <c r="I657" i="14"/>
  <c r="J47" i="9"/>
  <c r="I218" i="14"/>
  <c r="G226" i="14"/>
  <c r="G265" i="14"/>
  <c r="G267" i="14"/>
  <c r="K53" i="9"/>
  <c r="J233" i="14"/>
  <c r="I674" i="14"/>
  <c r="J83" i="9"/>
  <c r="K37" i="9"/>
  <c r="J95" i="14"/>
  <c r="J223" i="14"/>
  <c r="K49" i="9"/>
  <c r="J101" i="9"/>
  <c r="I755" i="14"/>
  <c r="L461" i="14"/>
  <c r="I168" i="14"/>
  <c r="I172" i="14"/>
  <c r="I183" i="14"/>
  <c r="I167" i="14"/>
  <c r="I170" i="14"/>
  <c r="I212" i="14"/>
  <c r="M159" i="14"/>
  <c r="M178" i="14"/>
  <c r="M156" i="14"/>
  <c r="M166" i="14"/>
  <c r="M157" i="14"/>
  <c r="M158" i="14"/>
  <c r="M350" i="14"/>
  <c r="M354" i="14"/>
  <c r="M566" i="14"/>
  <c r="M465" i="14"/>
  <c r="M583" i="14"/>
  <c r="M585" i="14"/>
  <c r="M587" i="14"/>
  <c r="M572" i="14"/>
  <c r="M570" i="14"/>
  <c r="L591" i="14"/>
  <c r="L593" i="14"/>
  <c r="L594" i="14"/>
  <c r="K247" i="14"/>
  <c r="D692" i="14"/>
  <c r="D624" i="14"/>
  <c r="Y437" i="14"/>
  <c r="X438" i="14"/>
  <c r="J239" i="14"/>
  <c r="K59" i="9"/>
  <c r="AC251" i="14"/>
  <c r="I669" i="14"/>
  <c r="J78" i="9"/>
  <c r="H157" i="14"/>
  <c r="H156" i="14"/>
  <c r="H166" i="14"/>
  <c r="H158" i="14"/>
  <c r="H159" i="14"/>
  <c r="H178" i="14"/>
  <c r="H350" i="14"/>
  <c r="H572" i="14"/>
  <c r="H591" i="14"/>
  <c r="H465" i="14"/>
  <c r="H583" i="14"/>
  <c r="H566" i="14"/>
  <c r="H570" i="14"/>
  <c r="G591" i="14"/>
  <c r="G593" i="14"/>
  <c r="G392" i="14"/>
  <c r="H388" i="14"/>
  <c r="H390" i="14"/>
  <c r="H391" i="14"/>
  <c r="H392" i="14"/>
  <c r="I216" i="14"/>
  <c r="I219" i="14"/>
  <c r="I220" i="14"/>
  <c r="J45" i="9"/>
  <c r="F404" i="14"/>
  <c r="F419" i="14"/>
  <c r="M458" i="14"/>
  <c r="M460" i="14"/>
  <c r="K61" i="9"/>
  <c r="J241" i="14"/>
  <c r="E618" i="14"/>
  <c r="AC231" i="14"/>
  <c r="I287" i="14"/>
  <c r="I179" i="14"/>
  <c r="I184" i="14"/>
  <c r="M523" i="14"/>
  <c r="M525" i="14"/>
  <c r="N521" i="14"/>
  <c r="V482" i="14"/>
  <c r="J215" i="14"/>
  <c r="K44" i="9"/>
  <c r="D277" i="14"/>
  <c r="D280" i="14"/>
  <c r="D282" i="14"/>
  <c r="D313" i="14"/>
  <c r="F745" i="14"/>
  <c r="F766" i="14"/>
  <c r="J256" i="14"/>
  <c r="K81" i="9"/>
  <c r="J672" i="14"/>
  <c r="J80" i="9"/>
  <c r="I671" i="14"/>
  <c r="K270" i="14"/>
  <c r="J87" i="9"/>
  <c r="I683" i="14"/>
  <c r="O433" i="14"/>
  <c r="N434" i="14"/>
  <c r="K539" i="14"/>
  <c r="AC192" i="14"/>
  <c r="I401" i="14"/>
  <c r="I402" i="14"/>
  <c r="I356" i="14"/>
  <c r="I359" i="14"/>
  <c r="N519" i="14"/>
  <c r="O517" i="14"/>
  <c r="P580" i="14"/>
  <c r="O581" i="14"/>
  <c r="J472" i="14"/>
  <c r="I473" i="14"/>
  <c r="I479" i="14"/>
  <c r="J156" i="14"/>
  <c r="J166" i="14"/>
  <c r="J157" i="14"/>
  <c r="J159" i="14"/>
  <c r="J178" i="14"/>
  <c r="J158" i="14"/>
  <c r="J350" i="14"/>
  <c r="J354" i="14"/>
  <c r="J465" i="14"/>
  <c r="J583" i="14"/>
  <c r="J585" i="14"/>
  <c r="J587" i="14"/>
  <c r="J566" i="14"/>
  <c r="J572" i="14"/>
  <c r="J591" i="14"/>
  <c r="J570" i="14"/>
  <c r="AD419" i="14"/>
  <c r="AD422" i="14"/>
  <c r="J43" i="9"/>
  <c r="I214" i="14"/>
  <c r="J266" i="14"/>
  <c r="L654" i="14"/>
  <c r="AC419" i="14"/>
  <c r="AC422" i="14"/>
  <c r="H461" i="14"/>
  <c r="L57" i="9"/>
  <c r="J501" i="14"/>
  <c r="J503" i="14"/>
  <c r="K498" i="14"/>
  <c r="D682" i="14"/>
  <c r="L529" i="14"/>
  <c r="M527" i="14"/>
  <c r="J77" i="9"/>
  <c r="I668" i="14"/>
  <c r="I253" i="14"/>
  <c r="J67" i="9"/>
  <c r="J234" i="14"/>
  <c r="K54" i="9"/>
  <c r="K60" i="9"/>
  <c r="J240" i="14"/>
  <c r="AD224" i="14"/>
  <c r="I507" i="14"/>
  <c r="J63" i="9"/>
  <c r="I243" i="14"/>
  <c r="H678" i="14"/>
  <c r="J693" i="14"/>
  <c r="K93" i="9"/>
  <c r="K55" i="9"/>
  <c r="J235" i="14"/>
  <c r="AD654" i="14"/>
  <c r="AD655" i="14"/>
  <c r="O153" i="14"/>
  <c r="I591" i="14"/>
  <c r="I593" i="14"/>
  <c r="I594" i="14"/>
  <c r="L373" i="14"/>
  <c r="K377" i="14"/>
  <c r="K378" i="14"/>
  <c r="K385" i="14"/>
  <c r="AC224" i="14"/>
  <c r="AC654" i="14"/>
  <c r="AC655" i="14"/>
  <c r="L419" i="14"/>
  <c r="L422" i="14"/>
  <c r="L559" i="14"/>
  <c r="M555" i="14"/>
  <c r="V204" i="14"/>
  <c r="V632" i="14"/>
  <c r="V636" i="14"/>
  <c r="V301" i="14"/>
  <c r="Y445" i="14"/>
  <c r="Z444" i="14"/>
  <c r="K551" i="14"/>
  <c r="L545" i="14"/>
  <c r="D638" i="14"/>
  <c r="I274" i="14"/>
  <c r="L614" i="14"/>
  <c r="AD231" i="14"/>
  <c r="D318" i="14"/>
  <c r="D324" i="14"/>
  <c r="I453" i="14"/>
  <c r="K477" i="14"/>
  <c r="L475" i="14"/>
  <c r="AD195" i="14"/>
  <c r="AD618" i="14"/>
  <c r="AD622" i="14"/>
  <c r="AD296" i="14"/>
  <c r="P144" i="14"/>
  <c r="O145" i="14"/>
  <c r="L62" i="9"/>
  <c r="K242" i="14"/>
  <c r="I289" i="14"/>
  <c r="J71" i="9"/>
  <c r="AB204" i="14"/>
  <c r="AB632" i="14"/>
  <c r="AB636" i="14"/>
  <c r="AB301" i="14"/>
  <c r="N471" i="14"/>
  <c r="I667" i="14"/>
  <c r="V469" i="14"/>
  <c r="I670" i="14"/>
  <c r="J79" i="9"/>
  <c r="V195" i="14"/>
  <c r="V618" i="14"/>
  <c r="V622" i="14"/>
  <c r="V296" i="14"/>
  <c r="AD251" i="14"/>
  <c r="AC172" i="14"/>
  <c r="I727" i="14"/>
  <c r="J97" i="9"/>
  <c r="D710" i="14"/>
  <c r="AD204" i="14"/>
  <c r="AD632" i="14"/>
  <c r="AD636" i="14"/>
  <c r="AD301" i="14"/>
  <c r="J236" i="14"/>
  <c r="K56" i="9"/>
  <c r="AC171" i="14"/>
  <c r="I248" i="21"/>
  <c r="I269" i="21"/>
  <c r="I271" i="21"/>
  <c r="I265" i="20"/>
  <c r="I267" i="20"/>
  <c r="I228" i="20"/>
  <c r="I265" i="21"/>
  <c r="I267" i="21"/>
  <c r="I228" i="21"/>
  <c r="I269" i="20"/>
  <c r="I271" i="20"/>
  <c r="I248" i="20"/>
  <c r="I255" i="21"/>
  <c r="J683" i="21"/>
  <c r="J683" i="20"/>
  <c r="J688" i="21"/>
  <c r="J688" i="20"/>
  <c r="J688" i="14"/>
  <c r="K90" i="9"/>
  <c r="K236" i="20"/>
  <c r="K236" i="21"/>
  <c r="J674" i="21"/>
  <c r="J674" i="20"/>
  <c r="J596" i="21"/>
  <c r="J657" i="21"/>
  <c r="J512" i="21"/>
  <c r="J605" i="21"/>
  <c r="J426" i="21"/>
  <c r="J332" i="21"/>
  <c r="J294" i="21"/>
  <c r="J463" i="21"/>
  <c r="J113" i="21"/>
  <c r="J187" i="21"/>
  <c r="J149" i="21"/>
  <c r="J206" i="21"/>
  <c r="J764" i="21"/>
  <c r="J741" i="21"/>
  <c r="J426" i="20"/>
  <c r="J94" i="21"/>
  <c r="J657" i="20"/>
  <c r="J764" i="20"/>
  <c r="J512" i="20"/>
  <c r="J596" i="20"/>
  <c r="J332" i="20"/>
  <c r="J294" i="20"/>
  <c r="J206" i="20"/>
  <c r="J741" i="20"/>
  <c r="J463" i="20"/>
  <c r="J605" i="20"/>
  <c r="J94" i="20"/>
  <c r="J149" i="20"/>
  <c r="J113" i="20"/>
  <c r="J187" i="20"/>
  <c r="I257" i="20"/>
  <c r="I284" i="20"/>
  <c r="I316" i="20"/>
  <c r="I325" i="20"/>
  <c r="I692" i="20"/>
  <c r="I694" i="20"/>
  <c r="J217" i="21"/>
  <c r="J217" i="20"/>
  <c r="K46" i="9"/>
  <c r="J217" i="14"/>
  <c r="H284" i="21"/>
  <c r="H316" i="21"/>
  <c r="H325" i="21"/>
  <c r="H692" i="21"/>
  <c r="H694" i="21"/>
  <c r="J726" i="21"/>
  <c r="J726" i="20"/>
  <c r="E298" i="20"/>
  <c r="E306" i="20"/>
  <c r="E297" i="20"/>
  <c r="K68" i="9"/>
  <c r="J254" i="21"/>
  <c r="J254" i="20"/>
  <c r="J254" i="14"/>
  <c r="H284" i="20"/>
  <c r="H316" i="20"/>
  <c r="J289" i="21"/>
  <c r="J290" i="21"/>
  <c r="J292" i="21"/>
  <c r="J302" i="21"/>
  <c r="J289" i="20"/>
  <c r="J290" i="20"/>
  <c r="J292" i="20"/>
  <c r="J302" i="20"/>
  <c r="K240" i="21"/>
  <c r="K240" i="20"/>
  <c r="J238" i="21"/>
  <c r="J245" i="21"/>
  <c r="J246" i="21"/>
  <c r="J238" i="20"/>
  <c r="J245" i="20"/>
  <c r="J246" i="20"/>
  <c r="J238" i="14"/>
  <c r="K58" i="9"/>
  <c r="J671" i="21"/>
  <c r="J671" i="20"/>
  <c r="I756" i="21"/>
  <c r="I756" i="20"/>
  <c r="J675" i="20"/>
  <c r="J675" i="21"/>
  <c r="J675" i="14"/>
  <c r="K84" i="9"/>
  <c r="K672" i="21"/>
  <c r="K672" i="20"/>
  <c r="K98" i="9"/>
  <c r="J732" i="21"/>
  <c r="J732" i="20"/>
  <c r="H259" i="21"/>
  <c r="H263" i="21"/>
  <c r="H259" i="20"/>
  <c r="H263" i="20"/>
  <c r="L237" i="21"/>
  <c r="L237" i="20"/>
  <c r="J253" i="21"/>
  <c r="J255" i="21"/>
  <c r="J273" i="21"/>
  <c r="J275" i="21"/>
  <c r="J253" i="20"/>
  <c r="J255" i="20"/>
  <c r="J273" i="20"/>
  <c r="J275" i="20"/>
  <c r="K237" i="14"/>
  <c r="K237" i="21"/>
  <c r="K237" i="20"/>
  <c r="F318" i="21"/>
  <c r="F652" i="21"/>
  <c r="H283" i="21"/>
  <c r="H315" i="21"/>
  <c r="K95" i="21"/>
  <c r="K95" i="20"/>
  <c r="J670" i="21"/>
  <c r="J670" i="20"/>
  <c r="K235" i="21"/>
  <c r="K235" i="20"/>
  <c r="J216" i="20"/>
  <c r="J219" i="20"/>
  <c r="J220" i="20"/>
  <c r="J221" i="20"/>
  <c r="J226" i="20"/>
  <c r="I678" i="20"/>
  <c r="J673" i="21"/>
  <c r="J673" i="20"/>
  <c r="K82" i="9"/>
  <c r="J673" i="14"/>
  <c r="J216" i="21"/>
  <c r="K693" i="21"/>
  <c r="K693" i="20"/>
  <c r="J669" i="21"/>
  <c r="J669" i="20"/>
  <c r="J668" i="21"/>
  <c r="J678" i="21"/>
  <c r="J668" i="20"/>
  <c r="J678" i="20"/>
  <c r="J667" i="21"/>
  <c r="J667" i="20"/>
  <c r="J214" i="21"/>
  <c r="J214" i="20"/>
  <c r="K239" i="21"/>
  <c r="K239" i="20"/>
  <c r="J755" i="21"/>
  <c r="J755" i="20"/>
  <c r="J219" i="21"/>
  <c r="J220" i="21"/>
  <c r="J221" i="21"/>
  <c r="J226" i="21"/>
  <c r="I678" i="21"/>
  <c r="K234" i="21"/>
  <c r="K234" i="20"/>
  <c r="L242" i="21"/>
  <c r="L242" i="20"/>
  <c r="K233" i="21"/>
  <c r="K233" i="20"/>
  <c r="J727" i="21"/>
  <c r="J727" i="20"/>
  <c r="J243" i="21"/>
  <c r="J243" i="20"/>
  <c r="K215" i="21"/>
  <c r="K215" i="20"/>
  <c r="K241" i="21"/>
  <c r="K241" i="20"/>
  <c r="K223" i="21"/>
  <c r="K224" i="21"/>
  <c r="K223" i="20"/>
  <c r="J218" i="21"/>
  <c r="J218" i="20"/>
  <c r="N227" i="21"/>
  <c r="N676" i="21"/>
  <c r="N677" i="21"/>
  <c r="O100" i="21"/>
  <c r="S101" i="21"/>
  <c r="R247" i="21"/>
  <c r="M745" i="21"/>
  <c r="M766" i="21"/>
  <c r="N648" i="21"/>
  <c r="N738" i="21"/>
  <c r="N697" i="21"/>
  <c r="N320" i="21"/>
  <c r="O98" i="21"/>
  <c r="N642" i="21"/>
  <c r="N357" i="21"/>
  <c r="N359" i="21"/>
  <c r="O270" i="21"/>
  <c r="P107" i="21"/>
  <c r="Q106" i="21"/>
  <c r="P266" i="21"/>
  <c r="Q256" i="21"/>
  <c r="R102" i="21"/>
  <c r="P108" i="21"/>
  <c r="O274" i="21"/>
  <c r="Q103" i="21"/>
  <c r="P291" i="21"/>
  <c r="Q102" i="20"/>
  <c r="P256" i="20"/>
  <c r="P103" i="20"/>
  <c r="O291" i="20"/>
  <c r="R100" i="20"/>
  <c r="Q227" i="20"/>
  <c r="Q676" i="20"/>
  <c r="Q677" i="20"/>
  <c r="R101" i="20"/>
  <c r="Q247" i="20"/>
  <c r="P461" i="21"/>
  <c r="L575" i="21"/>
  <c r="L509" i="21"/>
  <c r="K510" i="21"/>
  <c r="N498" i="21"/>
  <c r="M501" i="21"/>
  <c r="M503" i="21"/>
  <c r="M507" i="21"/>
  <c r="F624" i="21"/>
  <c r="J593" i="21"/>
  <c r="C587" i="21"/>
  <c r="Q469" i="21"/>
  <c r="L654" i="21"/>
  <c r="L181" i="21"/>
  <c r="M473" i="21"/>
  <c r="M479" i="21"/>
  <c r="N471" i="21"/>
  <c r="N539" i="21"/>
  <c r="M541" i="21"/>
  <c r="O540" i="21"/>
  <c r="P483" i="21"/>
  <c r="X444" i="21"/>
  <c r="W445" i="21"/>
  <c r="W451" i="21"/>
  <c r="I303" i="21"/>
  <c r="I301" i="21"/>
  <c r="I204" i="21"/>
  <c r="P628" i="21"/>
  <c r="J185" i="21"/>
  <c r="G664" i="21"/>
  <c r="G640" i="21"/>
  <c r="J303" i="21"/>
  <c r="J317" i="21"/>
  <c r="J326" i="21"/>
  <c r="J682" i="21"/>
  <c r="J301" i="21"/>
  <c r="J204" i="21"/>
  <c r="J632" i="21"/>
  <c r="P519" i="21"/>
  <c r="Q517" i="21"/>
  <c r="O477" i="21"/>
  <c r="P475" i="21"/>
  <c r="U419" i="21"/>
  <c r="U422" i="21"/>
  <c r="N482" i="21"/>
  <c r="M484" i="21"/>
  <c r="M574" i="21"/>
  <c r="M575" i="21"/>
  <c r="N287" i="21"/>
  <c r="M200" i="21"/>
  <c r="M201" i="21"/>
  <c r="Q453" i="21"/>
  <c r="H391" i="21"/>
  <c r="I388" i="21"/>
  <c r="I390" i="21"/>
  <c r="F638" i="21"/>
  <c r="O527" i="21"/>
  <c r="N529" i="21"/>
  <c r="N535" i="21"/>
  <c r="P177" i="21"/>
  <c r="O178" i="21"/>
  <c r="F689" i="21"/>
  <c r="R434" i="21"/>
  <c r="R440" i="21"/>
  <c r="R453" i="21"/>
  <c r="S433" i="21"/>
  <c r="J359" i="21"/>
  <c r="C356" i="21"/>
  <c r="S614" i="21"/>
  <c r="D306" i="21"/>
  <c r="K192" i="21"/>
  <c r="H664" i="21"/>
  <c r="H640" i="21"/>
  <c r="Q545" i="21"/>
  <c r="P551" i="21"/>
  <c r="J402" i="21"/>
  <c r="C401" i="21"/>
  <c r="L301" i="21"/>
  <c r="L204" i="21"/>
  <c r="L632" i="21"/>
  <c r="G277" i="21"/>
  <c r="G280" i="21"/>
  <c r="G282" i="21"/>
  <c r="G313" i="21"/>
  <c r="G323" i="21"/>
  <c r="G663" i="21"/>
  <c r="G665" i="21"/>
  <c r="G679" i="21"/>
  <c r="G696" i="21"/>
  <c r="S531" i="21"/>
  <c r="R533" i="21"/>
  <c r="L231" i="21"/>
  <c r="J228" i="21"/>
  <c r="J265" i="21"/>
  <c r="J267" i="21"/>
  <c r="F411" i="21"/>
  <c r="F694" i="21"/>
  <c r="D310" i="21"/>
  <c r="E321" i="21"/>
  <c r="J510" i="21"/>
  <c r="M212" i="21"/>
  <c r="L191" i="21"/>
  <c r="L192" i="21"/>
  <c r="M167" i="21"/>
  <c r="M171" i="21"/>
  <c r="M182" i="21"/>
  <c r="M168" i="21"/>
  <c r="P523" i="21"/>
  <c r="P525" i="21"/>
  <c r="Q521" i="21"/>
  <c r="I296" i="21"/>
  <c r="I195" i="21"/>
  <c r="G407" i="21"/>
  <c r="G409" i="21"/>
  <c r="K636" i="21"/>
  <c r="K633" i="21"/>
  <c r="K638" i="21"/>
  <c r="Z438" i="21"/>
  <c r="AA437" i="21"/>
  <c r="L251" i="21"/>
  <c r="J296" i="21"/>
  <c r="J195" i="21"/>
  <c r="J618" i="21"/>
  <c r="D663" i="21"/>
  <c r="O165" i="21"/>
  <c r="L172" i="21"/>
  <c r="F682" i="21"/>
  <c r="N615" i="21"/>
  <c r="N617" i="21"/>
  <c r="N629" i="21"/>
  <c r="N631" i="21"/>
  <c r="O611" i="21"/>
  <c r="D767" i="21"/>
  <c r="D746" i="21"/>
  <c r="M373" i="21"/>
  <c r="L377" i="21"/>
  <c r="L378" i="21"/>
  <c r="L385" i="21"/>
  <c r="L389" i="21"/>
  <c r="L404" i="21"/>
  <c r="L408" i="21"/>
  <c r="F298" i="21"/>
  <c r="F306" i="21"/>
  <c r="F297" i="21"/>
  <c r="Q555" i="21"/>
  <c r="P559" i="21"/>
  <c r="H624" i="20"/>
  <c r="N270" i="20"/>
  <c r="O107" i="20"/>
  <c r="O266" i="20"/>
  <c r="P106" i="20"/>
  <c r="Q108" i="20"/>
  <c r="P274" i="20"/>
  <c r="O738" i="20"/>
  <c r="O648" i="20"/>
  <c r="O357" i="20"/>
  <c r="O697" i="20"/>
  <c r="O320" i="20"/>
  <c r="O642" i="20"/>
  <c r="P98" i="20"/>
  <c r="N766" i="20"/>
  <c r="N745" i="20"/>
  <c r="J269" i="20"/>
  <c r="J271" i="20"/>
  <c r="J248" i="20"/>
  <c r="J296" i="20"/>
  <c r="J195" i="20"/>
  <c r="J618" i="20"/>
  <c r="I259" i="20"/>
  <c r="L212" i="20"/>
  <c r="L167" i="20"/>
  <c r="L168" i="20"/>
  <c r="L172" i="20"/>
  <c r="L183" i="20"/>
  <c r="K191" i="20"/>
  <c r="O540" i="20"/>
  <c r="P483" i="20"/>
  <c r="J182" i="20"/>
  <c r="M461" i="20"/>
  <c r="H664" i="20"/>
  <c r="F689" i="20"/>
  <c r="R628" i="20"/>
  <c r="N165" i="20"/>
  <c r="S517" i="20"/>
  <c r="R519" i="20"/>
  <c r="O124" i="20"/>
  <c r="O157" i="20"/>
  <c r="N458" i="20"/>
  <c r="N460" i="20"/>
  <c r="O434" i="20"/>
  <c r="O440" i="20"/>
  <c r="O453" i="20"/>
  <c r="H277" i="20"/>
  <c r="H280" i="20"/>
  <c r="H282" i="20"/>
  <c r="H313" i="20"/>
  <c r="H323" i="20"/>
  <c r="H663" i="20"/>
  <c r="O587" i="20"/>
  <c r="C585" i="20"/>
  <c r="F692" i="20"/>
  <c r="G422" i="20"/>
  <c r="I301" i="20"/>
  <c r="I303" i="20"/>
  <c r="I204" i="20"/>
  <c r="AD438" i="20"/>
  <c r="AC438" i="20"/>
  <c r="D708" i="20"/>
  <c r="D649" i="20"/>
  <c r="I622" i="20"/>
  <c r="I619" i="20"/>
  <c r="D663" i="20"/>
  <c r="G408" i="20"/>
  <c r="G263" i="20"/>
  <c r="K231" i="20"/>
  <c r="O469" i="20"/>
  <c r="P527" i="20"/>
  <c r="O529" i="20"/>
  <c r="F410" i="20"/>
  <c r="H392" i="20"/>
  <c r="Q501" i="20"/>
  <c r="Q503" i="20"/>
  <c r="Q507" i="20"/>
  <c r="R498" i="20"/>
  <c r="Z445" i="20"/>
  <c r="Z451" i="20"/>
  <c r="F622" i="20"/>
  <c r="F619" i="20"/>
  <c r="K251" i="20"/>
  <c r="I283" i="20"/>
  <c r="I315" i="20"/>
  <c r="O471" i="20"/>
  <c r="N473" i="20"/>
  <c r="N523" i="20"/>
  <c r="N525" i="20"/>
  <c r="O521" i="20"/>
  <c r="E664" i="20"/>
  <c r="E640" i="20"/>
  <c r="I391" i="20"/>
  <c r="I392" i="20"/>
  <c r="J201" i="20"/>
  <c r="F636" i="20"/>
  <c r="F633" i="20"/>
  <c r="K172" i="20"/>
  <c r="R545" i="20"/>
  <c r="Q551" i="20"/>
  <c r="M535" i="20"/>
  <c r="M574" i="20"/>
  <c r="M575" i="20"/>
  <c r="G624" i="20"/>
  <c r="F326" i="20"/>
  <c r="L287" i="20"/>
  <c r="K200" i="20"/>
  <c r="K201" i="20"/>
  <c r="K654" i="20"/>
  <c r="K181" i="20"/>
  <c r="K192" i="20"/>
  <c r="N373" i="20"/>
  <c r="M377" i="20"/>
  <c r="M378" i="20"/>
  <c r="M385" i="20"/>
  <c r="M389" i="20"/>
  <c r="M404" i="20"/>
  <c r="M408" i="20"/>
  <c r="G324" i="20"/>
  <c r="G318" i="20"/>
  <c r="G652" i="20"/>
  <c r="D306" i="20"/>
  <c r="F298" i="20"/>
  <c r="F306" i="20"/>
  <c r="F297" i="20"/>
  <c r="Q559" i="20"/>
  <c r="R555" i="20"/>
  <c r="M533" i="20"/>
  <c r="N531" i="20"/>
  <c r="N177" i="20"/>
  <c r="M178" i="20"/>
  <c r="K224" i="20"/>
  <c r="E684" i="20"/>
  <c r="K510" i="20"/>
  <c r="N484" i="20"/>
  <c r="O482" i="20"/>
  <c r="L179" i="20"/>
  <c r="M477" i="20"/>
  <c r="M479" i="20"/>
  <c r="M492" i="20"/>
  <c r="M494" i="20"/>
  <c r="N475" i="20"/>
  <c r="Q611" i="20"/>
  <c r="P629" i="20"/>
  <c r="P631" i="20"/>
  <c r="P615" i="20"/>
  <c r="N541" i="20"/>
  <c r="O539" i="20"/>
  <c r="O617" i="20"/>
  <c r="P614" i="20"/>
  <c r="H638" i="20"/>
  <c r="H640" i="20"/>
  <c r="O401" i="20"/>
  <c r="O356" i="20"/>
  <c r="C354" i="20"/>
  <c r="F228" i="14"/>
  <c r="F259" i="14"/>
  <c r="X195" i="14"/>
  <c r="X618" i="14"/>
  <c r="X622" i="14"/>
  <c r="F301" i="14"/>
  <c r="F303" i="14"/>
  <c r="F317" i="14"/>
  <c r="E318" i="14"/>
  <c r="E652" i="14"/>
  <c r="K356" i="14"/>
  <c r="Z195" i="14"/>
  <c r="Z618" i="14"/>
  <c r="Z622" i="14"/>
  <c r="AB195" i="14"/>
  <c r="AB618" i="14"/>
  <c r="AB622" i="14"/>
  <c r="K611" i="14"/>
  <c r="L611" i="14"/>
  <c r="K200" i="14"/>
  <c r="N465" i="14"/>
  <c r="W301" i="14"/>
  <c r="N156" i="14"/>
  <c r="N166" i="14"/>
  <c r="M191" i="14"/>
  <c r="J629" i="14"/>
  <c r="J631" i="14"/>
  <c r="G273" i="14"/>
  <c r="G275" i="14"/>
  <c r="G284" i="14"/>
  <c r="AC301" i="14"/>
  <c r="G269" i="14"/>
  <c r="G271" i="14"/>
  <c r="G283" i="14"/>
  <c r="M591" i="14"/>
  <c r="M593" i="14"/>
  <c r="M594" i="14"/>
  <c r="W296" i="14"/>
  <c r="L251" i="14"/>
  <c r="F622" i="14"/>
  <c r="F624" i="14"/>
  <c r="F664" i="14"/>
  <c r="K287" i="14"/>
  <c r="J191" i="14"/>
  <c r="K191" i="14"/>
  <c r="K212" i="14"/>
  <c r="K167" i="14"/>
  <c r="K231" i="14"/>
  <c r="K168" i="14"/>
  <c r="K172" i="14"/>
  <c r="K183" i="14"/>
  <c r="AA296" i="14"/>
  <c r="N158" i="14"/>
  <c r="Z204" i="14"/>
  <c r="Z632" i="14"/>
  <c r="Z636" i="14"/>
  <c r="Z301" i="14"/>
  <c r="N159" i="14"/>
  <c r="N178" i="14"/>
  <c r="N287" i="14"/>
  <c r="Y195" i="14"/>
  <c r="Y618" i="14"/>
  <c r="Y622" i="14"/>
  <c r="Y296" i="14"/>
  <c r="L231" i="14"/>
  <c r="L182" i="14"/>
  <c r="C599" i="14"/>
  <c r="I492" i="14"/>
  <c r="I494" i="14"/>
  <c r="I509" i="14"/>
  <c r="I510" i="14"/>
  <c r="N570" i="14"/>
  <c r="N572" i="14"/>
  <c r="N566" i="14"/>
  <c r="N583" i="14"/>
  <c r="N585" i="14"/>
  <c r="N587" i="14"/>
  <c r="N350" i="14"/>
  <c r="N354" i="14"/>
  <c r="N401" i="14"/>
  <c r="N402" i="14"/>
  <c r="H574" i="14"/>
  <c r="H575" i="14"/>
  <c r="N291" i="14"/>
  <c r="L227" i="14"/>
  <c r="L676" i="14"/>
  <c r="L677" i="14"/>
  <c r="K483" i="14"/>
  <c r="J540" i="14"/>
  <c r="J541" i="14"/>
  <c r="J574" i="14"/>
  <c r="J575" i="14"/>
  <c r="J484" i="14"/>
  <c r="K628" i="14"/>
  <c r="N140" i="14"/>
  <c r="P119" i="14"/>
  <c r="P124" i="14"/>
  <c r="O124" i="14"/>
  <c r="P118" i="14"/>
  <c r="P123" i="14"/>
  <c r="P140" i="14"/>
  <c r="O123" i="14"/>
  <c r="O140" i="14"/>
  <c r="P120" i="14"/>
  <c r="O125" i="14"/>
  <c r="AB448" i="14"/>
  <c r="AA449" i="14"/>
  <c r="K697" i="14"/>
  <c r="K642" i="14"/>
  <c r="K648" i="14"/>
  <c r="K320" i="14"/>
  <c r="K357" i="14"/>
  <c r="K359" i="14"/>
  <c r="K738" i="14"/>
  <c r="L531" i="14"/>
  <c r="K533" i="14"/>
  <c r="K535" i="14"/>
  <c r="J102" i="9"/>
  <c r="J732" i="14"/>
  <c r="I756" i="14"/>
  <c r="J726" i="14"/>
  <c r="K96" i="9"/>
  <c r="J741" i="14"/>
  <c r="J657" i="14"/>
  <c r="J512" i="14"/>
  <c r="J463" i="14"/>
  <c r="J426" i="14"/>
  <c r="J187" i="14"/>
  <c r="J149" i="14"/>
  <c r="K36" i="9"/>
  <c r="J113" i="14"/>
  <c r="J764" i="14"/>
  <c r="J596" i="14"/>
  <c r="J294" i="14"/>
  <c r="J605" i="14"/>
  <c r="J94" i="14"/>
  <c r="J206" i="14"/>
  <c r="J332" i="14"/>
  <c r="K47" i="9"/>
  <c r="J218" i="14"/>
  <c r="K101" i="9"/>
  <c r="J755" i="14"/>
  <c r="L53" i="9"/>
  <c r="K233" i="14"/>
  <c r="G228" i="14"/>
  <c r="G259" i="14"/>
  <c r="J674" i="14"/>
  <c r="K83" i="9"/>
  <c r="L98" i="9"/>
  <c r="K732" i="14"/>
  <c r="K95" i="14"/>
  <c r="L37" i="9"/>
  <c r="K223" i="14"/>
  <c r="L49" i="9"/>
  <c r="G200" i="14"/>
  <c r="H287" i="14"/>
  <c r="H290" i="14"/>
  <c r="H292" i="14"/>
  <c r="H302" i="14"/>
  <c r="H179" i="14"/>
  <c r="H200" i="14"/>
  <c r="M287" i="14"/>
  <c r="L200" i="14"/>
  <c r="M179" i="14"/>
  <c r="M184" i="14"/>
  <c r="J401" i="14"/>
  <c r="J402" i="14"/>
  <c r="J356" i="14"/>
  <c r="J359" i="14"/>
  <c r="K389" i="14"/>
  <c r="I678" i="14"/>
  <c r="Q580" i="14"/>
  <c r="P581" i="14"/>
  <c r="L539" i="14"/>
  <c r="O434" i="14"/>
  <c r="O440" i="14"/>
  <c r="O453" i="14"/>
  <c r="P433" i="14"/>
  <c r="N523" i="14"/>
  <c r="N525" i="14"/>
  <c r="O521" i="14"/>
  <c r="I181" i="14"/>
  <c r="I654" i="14"/>
  <c r="J668" i="14"/>
  <c r="K77" i="9"/>
  <c r="N527" i="14"/>
  <c r="M529" i="14"/>
  <c r="K80" i="9"/>
  <c r="J671" i="14"/>
  <c r="L59" i="9"/>
  <c r="K239" i="14"/>
  <c r="L247" i="14"/>
  <c r="I245" i="14"/>
  <c r="I246" i="14"/>
  <c r="I231" i="14"/>
  <c r="K472" i="14"/>
  <c r="J473" i="14"/>
  <c r="J479" i="14"/>
  <c r="H167" i="14"/>
  <c r="H171" i="14"/>
  <c r="G191" i="14"/>
  <c r="H168" i="14"/>
  <c r="H172" i="14"/>
  <c r="H170" i="14"/>
  <c r="H212" i="14"/>
  <c r="M373" i="14"/>
  <c r="L377" i="14"/>
  <c r="L385" i="14"/>
  <c r="L389" i="14"/>
  <c r="K234" i="14"/>
  <c r="L54" i="9"/>
  <c r="D323" i="14"/>
  <c r="M401" i="14"/>
  <c r="M402" i="14"/>
  <c r="M356" i="14"/>
  <c r="I255" i="14"/>
  <c r="I251" i="14"/>
  <c r="Y451" i="14"/>
  <c r="I224" i="14"/>
  <c r="I221" i="14"/>
  <c r="N440" i="14"/>
  <c r="J289" i="14"/>
  <c r="K71" i="9"/>
  <c r="L477" i="14"/>
  <c r="M475" i="14"/>
  <c r="F632" i="14"/>
  <c r="K501" i="14"/>
  <c r="K503" i="14"/>
  <c r="K507" i="14"/>
  <c r="L498" i="14"/>
  <c r="O519" i="14"/>
  <c r="P517" i="14"/>
  <c r="AC195" i="14"/>
  <c r="AC618" i="14"/>
  <c r="AC622" i="14"/>
  <c r="AC296" i="14"/>
  <c r="D298" i="14"/>
  <c r="D297" i="14"/>
  <c r="H191" i="14"/>
  <c r="W469" i="14"/>
  <c r="M545" i="14"/>
  <c r="L551" i="14"/>
  <c r="K266" i="14"/>
  <c r="I200" i="14"/>
  <c r="J287" i="14"/>
  <c r="J179" i="14"/>
  <c r="J184" i="14"/>
  <c r="K256" i="14"/>
  <c r="E622" i="14"/>
  <c r="E619" i="14"/>
  <c r="L61" i="9"/>
  <c r="K241" i="14"/>
  <c r="F422" i="14"/>
  <c r="K45" i="9"/>
  <c r="J216" i="14"/>
  <c r="J219" i="14"/>
  <c r="J220" i="14"/>
  <c r="K236" i="14"/>
  <c r="L56" i="9"/>
  <c r="L60" i="9"/>
  <c r="K240" i="14"/>
  <c r="H507" i="14"/>
  <c r="H494" i="14"/>
  <c r="D687" i="14"/>
  <c r="I191" i="14"/>
  <c r="J168" i="14"/>
  <c r="J172" i="14"/>
  <c r="J183" i="14"/>
  <c r="J167" i="14"/>
  <c r="J171" i="14"/>
  <c r="J182" i="14"/>
  <c r="J212" i="14"/>
  <c r="J170" i="14"/>
  <c r="L81" i="9"/>
  <c r="K672" i="14"/>
  <c r="I290" i="14"/>
  <c r="I292" i="14"/>
  <c r="I302" i="14"/>
  <c r="M461" i="14"/>
  <c r="F408" i="14"/>
  <c r="H354" i="14"/>
  <c r="Z437" i="14"/>
  <c r="Y438" i="14"/>
  <c r="K181" i="14"/>
  <c r="K654" i="14"/>
  <c r="J667" i="14"/>
  <c r="M62" i="9"/>
  <c r="L242" i="14"/>
  <c r="I458" i="14"/>
  <c r="I460" i="14"/>
  <c r="D652" i="14"/>
  <c r="M614" i="14"/>
  <c r="M559" i="14"/>
  <c r="N555" i="14"/>
  <c r="L404" i="14"/>
  <c r="L408" i="14"/>
  <c r="J253" i="14"/>
  <c r="K67" i="9"/>
  <c r="K215" i="14"/>
  <c r="L44" i="9"/>
  <c r="W482" i="14"/>
  <c r="O471" i="14"/>
  <c r="K43" i="9"/>
  <c r="J214" i="14"/>
  <c r="M168" i="14"/>
  <c r="M172" i="14"/>
  <c r="M167" i="14"/>
  <c r="M171" i="14"/>
  <c r="L191" i="14"/>
  <c r="M170" i="14"/>
  <c r="M212" i="14"/>
  <c r="K693" i="14"/>
  <c r="L93" i="9"/>
  <c r="D684" i="14"/>
  <c r="J593" i="14"/>
  <c r="J594" i="14"/>
  <c r="I745" i="14"/>
  <c r="I766" i="14"/>
  <c r="J683" i="14"/>
  <c r="K87" i="9"/>
  <c r="E277" i="14"/>
  <c r="E280" i="14"/>
  <c r="E282" i="14"/>
  <c r="E313" i="14"/>
  <c r="E323" i="14"/>
  <c r="E663" i="14"/>
  <c r="D640" i="14"/>
  <c r="D664" i="14"/>
  <c r="K79" i="9"/>
  <c r="J670" i="14"/>
  <c r="J274" i="14"/>
  <c r="L55" i="9"/>
  <c r="K235" i="14"/>
  <c r="L237" i="14"/>
  <c r="M57" i="9"/>
  <c r="I404" i="14"/>
  <c r="I408" i="14"/>
  <c r="I419" i="14"/>
  <c r="I422" i="14"/>
  <c r="L270" i="14"/>
  <c r="K78" i="9"/>
  <c r="J669" i="14"/>
  <c r="D694" i="14"/>
  <c r="Q144" i="14"/>
  <c r="P145" i="14"/>
  <c r="Q152" i="14"/>
  <c r="P146" i="14"/>
  <c r="G594" i="14"/>
  <c r="K97" i="9"/>
  <c r="J727" i="14"/>
  <c r="O152" i="14"/>
  <c r="Z445" i="14"/>
  <c r="Z451" i="14"/>
  <c r="AA444" i="14"/>
  <c r="K63" i="9"/>
  <c r="J243" i="14"/>
  <c r="K404" i="14"/>
  <c r="K408" i="14"/>
  <c r="K419" i="14"/>
  <c r="K422" i="14"/>
  <c r="J507" i="14"/>
  <c r="I388" i="14"/>
  <c r="I390" i="14"/>
  <c r="H585" i="14"/>
  <c r="J200" i="14"/>
  <c r="I171" i="14"/>
  <c r="I182" i="14"/>
  <c r="J269" i="21"/>
  <c r="J271" i="21"/>
  <c r="J248" i="21"/>
  <c r="J283" i="21"/>
  <c r="J315" i="21"/>
  <c r="L236" i="21"/>
  <c r="L236" i="20"/>
  <c r="K675" i="20"/>
  <c r="K675" i="21"/>
  <c r="L84" i="9"/>
  <c r="K675" i="14"/>
  <c r="I273" i="21"/>
  <c r="I275" i="21"/>
  <c r="I257" i="21"/>
  <c r="I284" i="21"/>
  <c r="I316" i="21"/>
  <c r="I325" i="21"/>
  <c r="I692" i="21"/>
  <c r="K667" i="21"/>
  <c r="K667" i="20"/>
  <c r="L215" i="21"/>
  <c r="L215" i="20"/>
  <c r="K243" i="21"/>
  <c r="K243" i="20"/>
  <c r="L672" i="21"/>
  <c r="L672" i="20"/>
  <c r="K669" i="21"/>
  <c r="K669" i="20"/>
  <c r="K216" i="21"/>
  <c r="K216" i="20"/>
  <c r="K726" i="21"/>
  <c r="K726" i="20"/>
  <c r="L234" i="21"/>
  <c r="L234" i="20"/>
  <c r="H325" i="20"/>
  <c r="H692" i="20"/>
  <c r="H694" i="20"/>
  <c r="H318" i="20"/>
  <c r="H652" i="20"/>
  <c r="K217" i="21"/>
  <c r="K219" i="21"/>
  <c r="K220" i="21"/>
  <c r="K221" i="21"/>
  <c r="K226" i="21"/>
  <c r="K217" i="20"/>
  <c r="K219" i="20"/>
  <c r="K220" i="20"/>
  <c r="K221" i="20"/>
  <c r="K226" i="20"/>
  <c r="L46" i="9"/>
  <c r="K217" i="14"/>
  <c r="L732" i="21"/>
  <c r="L732" i="20"/>
  <c r="K253" i="21"/>
  <c r="K253" i="20"/>
  <c r="K668" i="21"/>
  <c r="K668" i="20"/>
  <c r="K289" i="21"/>
  <c r="K290" i="21"/>
  <c r="K292" i="21"/>
  <c r="K289" i="20"/>
  <c r="K290" i="20"/>
  <c r="K292" i="20"/>
  <c r="K302" i="20"/>
  <c r="L223" i="21"/>
  <c r="L224" i="21"/>
  <c r="L223" i="20"/>
  <c r="L233" i="21"/>
  <c r="L233" i="20"/>
  <c r="J684" i="21"/>
  <c r="K727" i="21"/>
  <c r="K727" i="20"/>
  <c r="K596" i="21"/>
  <c r="K657" i="21"/>
  <c r="K512" i="21"/>
  <c r="K605" i="21"/>
  <c r="K426" i="21"/>
  <c r="K332" i="21"/>
  <c r="K294" i="21"/>
  <c r="K764" i="21"/>
  <c r="K463" i="21"/>
  <c r="K113" i="21"/>
  <c r="K512" i="20"/>
  <c r="K206" i="21"/>
  <c r="K741" i="21"/>
  <c r="K426" i="20"/>
  <c r="K94" i="21"/>
  <c r="K605" i="20"/>
  <c r="K463" i="20"/>
  <c r="K149" i="21"/>
  <c r="K657" i="20"/>
  <c r="K764" i="20"/>
  <c r="K596" i="20"/>
  <c r="K332" i="20"/>
  <c r="K187" i="21"/>
  <c r="K294" i="20"/>
  <c r="K741" i="20"/>
  <c r="K94" i="20"/>
  <c r="K149" i="20"/>
  <c r="K113" i="20"/>
  <c r="K206" i="20"/>
  <c r="K187" i="20"/>
  <c r="J756" i="21"/>
  <c r="J756" i="20"/>
  <c r="K688" i="21"/>
  <c r="K688" i="20"/>
  <c r="L90" i="9"/>
  <c r="K688" i="14"/>
  <c r="K670" i="21"/>
  <c r="K670" i="20"/>
  <c r="L241" i="21"/>
  <c r="L241" i="20"/>
  <c r="L95" i="21"/>
  <c r="L95" i="20"/>
  <c r="K755" i="21"/>
  <c r="K755" i="20"/>
  <c r="H324" i="21"/>
  <c r="H687" i="21"/>
  <c r="H689" i="21"/>
  <c r="H318" i="21"/>
  <c r="H652" i="21"/>
  <c r="K238" i="21"/>
  <c r="K245" i="21"/>
  <c r="K246" i="21"/>
  <c r="L239" i="21"/>
  <c r="L239" i="20"/>
  <c r="J257" i="21"/>
  <c r="J284" i="21"/>
  <c r="J316" i="21"/>
  <c r="J325" i="21"/>
  <c r="J692" i="21"/>
  <c r="J694" i="21"/>
  <c r="K673" i="21"/>
  <c r="K673" i="20"/>
  <c r="K673" i="14"/>
  <c r="L82" i="9"/>
  <c r="K238" i="20"/>
  <c r="K245" i="20"/>
  <c r="K246" i="20"/>
  <c r="K238" i="14"/>
  <c r="L58" i="9"/>
  <c r="K254" i="21"/>
  <c r="K254" i="20"/>
  <c r="L68" i="9"/>
  <c r="K254" i="14"/>
  <c r="M237" i="21"/>
  <c r="M237" i="20"/>
  <c r="L235" i="21"/>
  <c r="L235" i="20"/>
  <c r="K218" i="21"/>
  <c r="K218" i="20"/>
  <c r="J257" i="20"/>
  <c r="K732" i="21"/>
  <c r="K732" i="20"/>
  <c r="K674" i="21"/>
  <c r="K674" i="20"/>
  <c r="K683" i="21"/>
  <c r="K683" i="20"/>
  <c r="K214" i="21"/>
  <c r="K214" i="20"/>
  <c r="L693" i="21"/>
  <c r="L693" i="20"/>
  <c r="M242" i="21"/>
  <c r="M242" i="20"/>
  <c r="L240" i="21"/>
  <c r="L240" i="20"/>
  <c r="K671" i="21"/>
  <c r="K671" i="20"/>
  <c r="D310" i="20"/>
  <c r="D311" i="20"/>
  <c r="E321" i="20"/>
  <c r="I283" i="21"/>
  <c r="I315" i="21"/>
  <c r="I324" i="21"/>
  <c r="O227" i="21"/>
  <c r="O676" i="21"/>
  <c r="O677" i="21"/>
  <c r="P100" i="21"/>
  <c r="R103" i="21"/>
  <c r="Q291" i="21"/>
  <c r="N745" i="21"/>
  <c r="N766" i="21"/>
  <c r="Q108" i="21"/>
  <c r="P274" i="21"/>
  <c r="R256" i="21"/>
  <c r="S102" i="21"/>
  <c r="R106" i="21"/>
  <c r="Q266" i="21"/>
  <c r="O648" i="21"/>
  <c r="O738" i="21"/>
  <c r="O697" i="21"/>
  <c r="O320" i="21"/>
  <c r="P98" i="21"/>
  <c r="O642" i="21"/>
  <c r="O357" i="21"/>
  <c r="O359" i="21"/>
  <c r="P270" i="21"/>
  <c r="Q107" i="21"/>
  <c r="T101" i="21"/>
  <c r="S247" i="21"/>
  <c r="R247" i="20"/>
  <c r="S101" i="20"/>
  <c r="S100" i="20"/>
  <c r="R227" i="20"/>
  <c r="R676" i="20"/>
  <c r="R677" i="20"/>
  <c r="Q103" i="20"/>
  <c r="P291" i="20"/>
  <c r="R102" i="20"/>
  <c r="Q256" i="20"/>
  <c r="M301" i="21"/>
  <c r="M204" i="21"/>
  <c r="M632" i="21"/>
  <c r="L296" i="21"/>
  <c r="L195" i="21"/>
  <c r="L618" i="21"/>
  <c r="I391" i="21"/>
  <c r="I392" i="21"/>
  <c r="M654" i="21"/>
  <c r="M181" i="21"/>
  <c r="H277" i="21"/>
  <c r="H280" i="21"/>
  <c r="H282" i="21"/>
  <c r="H313" i="21"/>
  <c r="I317" i="21"/>
  <c r="N373" i="21"/>
  <c r="M377" i="21"/>
  <c r="M378" i="21"/>
  <c r="M385" i="21"/>
  <c r="M389" i="21"/>
  <c r="M404" i="21"/>
  <c r="M408" i="21"/>
  <c r="M231" i="21"/>
  <c r="G709" i="21"/>
  <c r="G698" i="21"/>
  <c r="L510" i="21"/>
  <c r="J622" i="21"/>
  <c r="J619" i="21"/>
  <c r="J624" i="21"/>
  <c r="G410" i="21"/>
  <c r="M191" i="21"/>
  <c r="M192" i="21"/>
  <c r="F414" i="21"/>
  <c r="G298" i="21"/>
  <c r="G306" i="21"/>
  <c r="G297" i="21"/>
  <c r="K195" i="21"/>
  <c r="K618" i="21"/>
  <c r="K296" i="21"/>
  <c r="O287" i="21"/>
  <c r="N200" i="21"/>
  <c r="Q458" i="21"/>
  <c r="Q460" i="21"/>
  <c r="Q519" i="21"/>
  <c r="R517" i="21"/>
  <c r="Y444" i="21"/>
  <c r="X445" i="21"/>
  <c r="X451" i="21"/>
  <c r="N168" i="21"/>
  <c r="N212" i="21"/>
  <c r="N167" i="21"/>
  <c r="L636" i="21"/>
  <c r="L633" i="21"/>
  <c r="D311" i="21"/>
  <c r="D321" i="21"/>
  <c r="Q177" i="21"/>
  <c r="P178" i="21"/>
  <c r="Q628" i="21"/>
  <c r="R469" i="21"/>
  <c r="N654" i="21"/>
  <c r="N181" i="21"/>
  <c r="I618" i="21"/>
  <c r="O179" i="21"/>
  <c r="O184" i="21"/>
  <c r="N201" i="21"/>
  <c r="Q483" i="21"/>
  <c r="P540" i="21"/>
  <c r="H643" i="21"/>
  <c r="H329" i="21"/>
  <c r="H641" i="21"/>
  <c r="H645" i="21"/>
  <c r="J636" i="21"/>
  <c r="J633" i="21"/>
  <c r="J638" i="21"/>
  <c r="M251" i="21"/>
  <c r="O615" i="21"/>
  <c r="O617" i="21"/>
  <c r="O629" i="21"/>
  <c r="O631" i="21"/>
  <c r="P611" i="21"/>
  <c r="P165" i="21"/>
  <c r="Q523" i="21"/>
  <c r="Q525" i="21"/>
  <c r="R521" i="21"/>
  <c r="T614" i="21"/>
  <c r="O529" i="21"/>
  <c r="O535" i="21"/>
  <c r="P527" i="21"/>
  <c r="J594" i="21"/>
  <c r="C593" i="21"/>
  <c r="C594" i="21"/>
  <c r="J324" i="21"/>
  <c r="J687" i="21"/>
  <c r="J689" i="21"/>
  <c r="P477" i="21"/>
  <c r="Q475" i="21"/>
  <c r="R555" i="21"/>
  <c r="Q559" i="21"/>
  <c r="AB437" i="21"/>
  <c r="AA438" i="21"/>
  <c r="H392" i="21"/>
  <c r="E706" i="21"/>
  <c r="E711" i="21"/>
  <c r="E328" i="21"/>
  <c r="E330" i="21"/>
  <c r="J404" i="21"/>
  <c r="J419" i="21"/>
  <c r="C402" i="21"/>
  <c r="O482" i="21"/>
  <c r="N484" i="21"/>
  <c r="G643" i="21"/>
  <c r="G329" i="21"/>
  <c r="G641" i="21"/>
  <c r="G645" i="21"/>
  <c r="O539" i="21"/>
  <c r="N541" i="21"/>
  <c r="N574" i="21"/>
  <c r="F664" i="21"/>
  <c r="F640" i="21"/>
  <c r="R458" i="21"/>
  <c r="R460" i="21"/>
  <c r="F321" i="21"/>
  <c r="E310" i="21"/>
  <c r="D665" i="21"/>
  <c r="J766" i="21"/>
  <c r="J745" i="21"/>
  <c r="N473" i="21"/>
  <c r="N479" i="21"/>
  <c r="O471" i="21"/>
  <c r="L183" i="21"/>
  <c r="L185" i="21"/>
  <c r="F684" i="21"/>
  <c r="M172" i="21"/>
  <c r="M183" i="21"/>
  <c r="S533" i="21"/>
  <c r="T531" i="21"/>
  <c r="R545" i="21"/>
  <c r="Q551" i="21"/>
  <c r="T433" i="21"/>
  <c r="S434" i="21"/>
  <c r="S440" i="21"/>
  <c r="S453" i="21"/>
  <c r="I632" i="21"/>
  <c r="M492" i="21"/>
  <c r="M494" i="21"/>
  <c r="M509" i="21"/>
  <c r="N501" i="21"/>
  <c r="N503" i="21"/>
  <c r="N507" i="21"/>
  <c r="O498" i="21"/>
  <c r="H665" i="20"/>
  <c r="H679" i="20"/>
  <c r="C438" i="20"/>
  <c r="J388" i="20"/>
  <c r="J390" i="20"/>
  <c r="J391" i="20"/>
  <c r="I624" i="20"/>
  <c r="P107" i="20"/>
  <c r="O270" i="20"/>
  <c r="R108" i="20"/>
  <c r="Q274" i="20"/>
  <c r="Q106" i="20"/>
  <c r="P266" i="20"/>
  <c r="P738" i="20"/>
  <c r="P648" i="20"/>
  <c r="P357" i="20"/>
  <c r="P359" i="20"/>
  <c r="P697" i="20"/>
  <c r="P642" i="20"/>
  <c r="P320" i="20"/>
  <c r="Q98" i="20"/>
  <c r="N461" i="20"/>
  <c r="E310" i="20"/>
  <c r="F321" i="20"/>
  <c r="F624" i="20"/>
  <c r="Q527" i="20"/>
  <c r="P529" i="20"/>
  <c r="D665" i="20"/>
  <c r="H297" i="20"/>
  <c r="H298" i="20"/>
  <c r="H306" i="20"/>
  <c r="H643" i="20"/>
  <c r="H329" i="20"/>
  <c r="H641" i="20"/>
  <c r="H645" i="20"/>
  <c r="L231" i="20"/>
  <c r="O359" i="20"/>
  <c r="C356" i="20"/>
  <c r="Q615" i="20"/>
  <c r="Q629" i="20"/>
  <c r="Q631" i="20"/>
  <c r="R611" i="20"/>
  <c r="E643" i="20"/>
  <c r="E329" i="20"/>
  <c r="E645" i="20"/>
  <c r="T517" i="20"/>
  <c r="S519" i="20"/>
  <c r="L171" i="20"/>
  <c r="R551" i="20"/>
  <c r="S545" i="20"/>
  <c r="M509" i="20"/>
  <c r="L200" i="20"/>
  <c r="M287" i="20"/>
  <c r="K183" i="20"/>
  <c r="K185" i="20"/>
  <c r="P434" i="20"/>
  <c r="P440" i="20"/>
  <c r="P453" i="20"/>
  <c r="M212" i="20"/>
  <c r="M168" i="20"/>
  <c r="L191" i="20"/>
  <c r="M167" i="20"/>
  <c r="I263" i="20"/>
  <c r="O458" i="20"/>
  <c r="O460" i="20"/>
  <c r="O523" i="20"/>
  <c r="O525" i="20"/>
  <c r="P521" i="20"/>
  <c r="AA445" i="20"/>
  <c r="AA451" i="20"/>
  <c r="P617" i="20"/>
  <c r="Q614" i="20"/>
  <c r="O177" i="20"/>
  <c r="N178" i="20"/>
  <c r="G687" i="20"/>
  <c r="F638" i="20"/>
  <c r="N535" i="20"/>
  <c r="N574" i="20"/>
  <c r="N575" i="20"/>
  <c r="S498" i="20"/>
  <c r="R501" i="20"/>
  <c r="R503" i="20"/>
  <c r="R507" i="20"/>
  <c r="D767" i="20"/>
  <c r="D746" i="20"/>
  <c r="J185" i="20"/>
  <c r="O165" i="20"/>
  <c r="N477" i="20"/>
  <c r="N479" i="20"/>
  <c r="N492" i="20"/>
  <c r="N494" i="20"/>
  <c r="N509" i="20"/>
  <c r="O475" i="20"/>
  <c r="L224" i="20"/>
  <c r="P482" i="20"/>
  <c r="O484" i="20"/>
  <c r="F682" i="20"/>
  <c r="O402" i="20"/>
  <c r="C401" i="20"/>
  <c r="D321" i="20"/>
  <c r="K301" i="20"/>
  <c r="K303" i="20"/>
  <c r="K317" i="20"/>
  <c r="K326" i="20"/>
  <c r="K682" i="20"/>
  <c r="K684" i="20"/>
  <c r="K204" i="20"/>
  <c r="K632" i="20"/>
  <c r="J284" i="20"/>
  <c r="J316" i="20"/>
  <c r="N533" i="20"/>
  <c r="O531" i="20"/>
  <c r="J303" i="20"/>
  <c r="J317" i="20"/>
  <c r="J326" i="20"/>
  <c r="J682" i="20"/>
  <c r="J684" i="20"/>
  <c r="J204" i="20"/>
  <c r="J632" i="20"/>
  <c r="J301" i="20"/>
  <c r="O473" i="20"/>
  <c r="P471" i="20"/>
  <c r="G277" i="20"/>
  <c r="G280" i="20"/>
  <c r="G282" i="20"/>
  <c r="G313" i="20"/>
  <c r="F694" i="20"/>
  <c r="P540" i="20"/>
  <c r="Q483" i="20"/>
  <c r="E665" i="20"/>
  <c r="E679" i="20"/>
  <c r="E696" i="20"/>
  <c r="M179" i="20"/>
  <c r="M184" i="20"/>
  <c r="J228" i="20"/>
  <c r="J265" i="20"/>
  <c r="J267" i="20"/>
  <c r="I324" i="20"/>
  <c r="I687" i="20"/>
  <c r="I689" i="20"/>
  <c r="S628" i="20"/>
  <c r="J622" i="20"/>
  <c r="J619" i="20"/>
  <c r="I664" i="20"/>
  <c r="L184" i="20"/>
  <c r="O541" i="20"/>
  <c r="P539" i="20"/>
  <c r="R559" i="20"/>
  <c r="S555" i="20"/>
  <c r="O373" i="20"/>
  <c r="N377" i="20"/>
  <c r="N378" i="20"/>
  <c r="N385" i="20"/>
  <c r="N389" i="20"/>
  <c r="N404" i="20"/>
  <c r="N408" i="20"/>
  <c r="G640" i="20"/>
  <c r="G664" i="20"/>
  <c r="F411" i="20"/>
  <c r="O593" i="20"/>
  <c r="C587" i="20"/>
  <c r="P469" i="20"/>
  <c r="K296" i="20"/>
  <c r="K195" i="20"/>
  <c r="G407" i="20"/>
  <c r="G409" i="20"/>
  <c r="I632" i="20"/>
  <c r="L654" i="20"/>
  <c r="L181" i="20"/>
  <c r="L251" i="20"/>
  <c r="J283" i="20"/>
  <c r="J315" i="20"/>
  <c r="I317" i="20"/>
  <c r="P124" i="20"/>
  <c r="C124" i="20"/>
  <c r="P157" i="20"/>
  <c r="C119" i="20"/>
  <c r="C157" i="20"/>
  <c r="K102" i="9"/>
  <c r="J192" i="14"/>
  <c r="J296" i="14"/>
  <c r="N212" i="14"/>
  <c r="N170" i="14"/>
  <c r="N181" i="14"/>
  <c r="K201" i="14"/>
  <c r="K204" i="14"/>
  <c r="K632" i="14"/>
  <c r="N168" i="14"/>
  <c r="N172" i="14"/>
  <c r="K629" i="14"/>
  <c r="K631" i="14"/>
  <c r="K615" i="14"/>
  <c r="K617" i="14"/>
  <c r="N167" i="14"/>
  <c r="N171" i="14"/>
  <c r="K251" i="14"/>
  <c r="N356" i="14"/>
  <c r="K171" i="14"/>
  <c r="K182" i="14"/>
  <c r="K185" i="14"/>
  <c r="K224" i="14"/>
  <c r="K192" i="14"/>
  <c r="K195" i="14"/>
  <c r="K618" i="14"/>
  <c r="K622" i="14"/>
  <c r="M200" i="14"/>
  <c r="M201" i="14"/>
  <c r="M204" i="14"/>
  <c r="M632" i="14"/>
  <c r="M636" i="14"/>
  <c r="L192" i="14"/>
  <c r="L195" i="14"/>
  <c r="L618" i="14"/>
  <c r="L622" i="14"/>
  <c r="N179" i="14"/>
  <c r="N184" i="14"/>
  <c r="J756" i="14"/>
  <c r="M182" i="14"/>
  <c r="O291" i="14"/>
  <c r="C119" i="14"/>
  <c r="M676" i="14"/>
  <c r="M677" i="14"/>
  <c r="M227" i="14"/>
  <c r="K766" i="14"/>
  <c r="K745" i="14"/>
  <c r="L697" i="14"/>
  <c r="L320" i="14"/>
  <c r="L648" i="14"/>
  <c r="L357" i="14"/>
  <c r="L359" i="14"/>
  <c r="L738" i="14"/>
  <c r="L642" i="14"/>
  <c r="C124" i="14"/>
  <c r="C123" i="14"/>
  <c r="C118" i="14"/>
  <c r="I192" i="14"/>
  <c r="I195" i="14"/>
  <c r="I618" i="14"/>
  <c r="M192" i="14"/>
  <c r="M195" i="14"/>
  <c r="M618" i="14"/>
  <c r="M622" i="14"/>
  <c r="P152" i="14"/>
  <c r="C152" i="14"/>
  <c r="AC448" i="14"/>
  <c r="AB449" i="14"/>
  <c r="L628" i="14"/>
  <c r="L629" i="14"/>
  <c r="M611" i="14"/>
  <c r="L615" i="14"/>
  <c r="L617" i="14"/>
  <c r="M531" i="14"/>
  <c r="L533" i="14"/>
  <c r="L535" i="14"/>
  <c r="P125" i="14"/>
  <c r="C125" i="14"/>
  <c r="C120" i="14"/>
  <c r="K484" i="14"/>
  <c r="L483" i="14"/>
  <c r="K540" i="14"/>
  <c r="K541" i="14"/>
  <c r="K574" i="14"/>
  <c r="K575" i="14"/>
  <c r="J492" i="14"/>
  <c r="J494" i="14"/>
  <c r="J509" i="14"/>
  <c r="J510" i="14"/>
  <c r="C140" i="14"/>
  <c r="K726" i="14"/>
  <c r="L96" i="9"/>
  <c r="K596" i="14"/>
  <c r="K426" i="14"/>
  <c r="K463" i="14"/>
  <c r="K187" i="14"/>
  <c r="L36" i="9"/>
  <c r="K764" i="14"/>
  <c r="K605" i="14"/>
  <c r="K149" i="14"/>
  <c r="K332" i="14"/>
  <c r="K94" i="14"/>
  <c r="K206" i="14"/>
  <c r="K657" i="14"/>
  <c r="K294" i="14"/>
  <c r="K113" i="14"/>
  <c r="K741" i="14"/>
  <c r="K512" i="14"/>
  <c r="K245" i="14"/>
  <c r="K246" i="14"/>
  <c r="K269" i="14"/>
  <c r="K271" i="14"/>
  <c r="L47" i="9"/>
  <c r="K218" i="14"/>
  <c r="L223" i="14"/>
  <c r="L224" i="14"/>
  <c r="M49" i="9"/>
  <c r="L732" i="14"/>
  <c r="M98" i="9"/>
  <c r="L83" i="9"/>
  <c r="K674" i="14"/>
  <c r="J290" i="14"/>
  <c r="J292" i="14"/>
  <c r="J302" i="14"/>
  <c r="M37" i="9"/>
  <c r="L95" i="14"/>
  <c r="M53" i="9"/>
  <c r="L233" i="14"/>
  <c r="L101" i="9"/>
  <c r="K755" i="14"/>
  <c r="I461" i="14"/>
  <c r="I248" i="14"/>
  <c r="I269" i="14"/>
  <c r="I271" i="14"/>
  <c r="AB444" i="14"/>
  <c r="AA445" i="14"/>
  <c r="AA451" i="14"/>
  <c r="M55" i="9"/>
  <c r="L235" i="14"/>
  <c r="M181" i="14"/>
  <c r="M654" i="14"/>
  <c r="K216" i="14"/>
  <c r="K219" i="14"/>
  <c r="K220" i="14"/>
  <c r="K221" i="14"/>
  <c r="L45" i="9"/>
  <c r="L256" i="14"/>
  <c r="L183" i="14"/>
  <c r="L185" i="14"/>
  <c r="F326" i="14"/>
  <c r="F318" i="14"/>
  <c r="I257" i="14"/>
  <c r="I273" i="14"/>
  <c r="I275" i="14"/>
  <c r="H509" i="14"/>
  <c r="L472" i="14"/>
  <c r="K473" i="14"/>
  <c r="K479" i="14"/>
  <c r="K727" i="14"/>
  <c r="L97" i="9"/>
  <c r="N475" i="14"/>
  <c r="M477" i="14"/>
  <c r="P153" i="14"/>
  <c r="H587" i="14"/>
  <c r="O154" i="14"/>
  <c r="L87" i="9"/>
  <c r="K683" i="14"/>
  <c r="P471" i="14"/>
  <c r="H401" i="14"/>
  <c r="H356" i="14"/>
  <c r="J181" i="14"/>
  <c r="J185" i="14"/>
  <c r="J654" i="14"/>
  <c r="F263" i="14"/>
  <c r="I226" i="14"/>
  <c r="L234" i="14"/>
  <c r="M54" i="9"/>
  <c r="H182" i="14"/>
  <c r="N529" i="14"/>
  <c r="O527" i="14"/>
  <c r="R580" i="14"/>
  <c r="Q581" i="14"/>
  <c r="N654" i="14"/>
  <c r="I201" i="14"/>
  <c r="N419" i="14"/>
  <c r="N422" i="14"/>
  <c r="L80" i="9"/>
  <c r="K671" i="14"/>
  <c r="I391" i="14"/>
  <c r="I392" i="14"/>
  <c r="R144" i="14"/>
  <c r="Q146" i="14"/>
  <c r="K670" i="14"/>
  <c r="L79" i="9"/>
  <c r="J221" i="14"/>
  <c r="J224" i="14"/>
  <c r="M60" i="9"/>
  <c r="L240" i="14"/>
  <c r="D663" i="14"/>
  <c r="H221" i="14"/>
  <c r="H224" i="14"/>
  <c r="M59" i="9"/>
  <c r="L239" i="14"/>
  <c r="M270" i="14"/>
  <c r="M231" i="14"/>
  <c r="K253" i="14"/>
  <c r="K255" i="14"/>
  <c r="L67" i="9"/>
  <c r="K667" i="14"/>
  <c r="D689" i="14"/>
  <c r="P519" i="14"/>
  <c r="Q517" i="14"/>
  <c r="K289" i="14"/>
  <c r="K290" i="14"/>
  <c r="K292" i="14"/>
  <c r="K302" i="14"/>
  <c r="L71" i="9"/>
  <c r="L378" i="14"/>
  <c r="H183" i="14"/>
  <c r="O523" i="14"/>
  <c r="O525" i="14"/>
  <c r="P521" i="14"/>
  <c r="J745" i="14"/>
  <c r="J766" i="14"/>
  <c r="N231" i="14"/>
  <c r="H184" i="14"/>
  <c r="L78" i="9"/>
  <c r="K669" i="14"/>
  <c r="M539" i="14"/>
  <c r="M237" i="14"/>
  <c r="N57" i="9"/>
  <c r="L201" i="14"/>
  <c r="M251" i="14"/>
  <c r="F409" i="14"/>
  <c r="J245" i="14"/>
  <c r="J246" i="14"/>
  <c r="J231" i="14"/>
  <c r="M404" i="14"/>
  <c r="M408" i="14"/>
  <c r="M419" i="14"/>
  <c r="M422" i="14"/>
  <c r="N373" i="14"/>
  <c r="N404" i="14"/>
  <c r="N408" i="14"/>
  <c r="M377" i="14"/>
  <c r="M378" i="14"/>
  <c r="M385" i="14"/>
  <c r="M389" i="14"/>
  <c r="H181" i="14"/>
  <c r="H654" i="14"/>
  <c r="L77" i="9"/>
  <c r="K668" i="14"/>
  <c r="J404" i="14"/>
  <c r="J408" i="14"/>
  <c r="J419" i="14"/>
  <c r="J422" i="14"/>
  <c r="K301" i="14"/>
  <c r="X482" i="14"/>
  <c r="O555" i="14"/>
  <c r="N559" i="14"/>
  <c r="G263" i="14"/>
  <c r="AA437" i="14"/>
  <c r="Z438" i="14"/>
  <c r="J255" i="14"/>
  <c r="J251" i="14"/>
  <c r="M61" i="9"/>
  <c r="L241" i="14"/>
  <c r="M498" i="14"/>
  <c r="L501" i="14"/>
  <c r="L503" i="14"/>
  <c r="L507" i="14"/>
  <c r="H255" i="14"/>
  <c r="H251" i="14"/>
  <c r="J678" i="14"/>
  <c r="H201" i="14"/>
  <c r="G201" i="14"/>
  <c r="N614" i="14"/>
  <c r="K274" i="14"/>
  <c r="J195" i="14"/>
  <c r="J618" i="14"/>
  <c r="J201" i="14"/>
  <c r="N545" i="14"/>
  <c r="M551" i="14"/>
  <c r="H192" i="14"/>
  <c r="G192" i="14"/>
  <c r="G315" i="14"/>
  <c r="M247" i="14"/>
  <c r="H245" i="14"/>
  <c r="H246" i="14"/>
  <c r="H231" i="14"/>
  <c r="L236" i="14"/>
  <c r="M56" i="9"/>
  <c r="D329" i="14"/>
  <c r="D643" i="14"/>
  <c r="D645" i="14"/>
  <c r="M93" i="9"/>
  <c r="L693" i="14"/>
  <c r="L215" i="14"/>
  <c r="M44" i="9"/>
  <c r="M81" i="9"/>
  <c r="L672" i="14"/>
  <c r="E624" i="14"/>
  <c r="X469" i="14"/>
  <c r="F636" i="14"/>
  <c r="F633" i="14"/>
  <c r="N453" i="14"/>
  <c r="I185" i="14"/>
  <c r="Q433" i="14"/>
  <c r="P434" i="14"/>
  <c r="P440" i="14"/>
  <c r="P453" i="14"/>
  <c r="E298" i="14"/>
  <c r="E306" i="14"/>
  <c r="E297" i="14"/>
  <c r="L266" i="14"/>
  <c r="D306" i="14"/>
  <c r="L63" i="9"/>
  <c r="K243" i="14"/>
  <c r="L43" i="9"/>
  <c r="K214" i="14"/>
  <c r="N62" i="9"/>
  <c r="M242" i="14"/>
  <c r="O458" i="14"/>
  <c r="O460" i="14"/>
  <c r="K269" i="20"/>
  <c r="K271" i="20"/>
  <c r="K248" i="20"/>
  <c r="K283" i="20"/>
  <c r="K315" i="20"/>
  <c r="K324" i="20"/>
  <c r="K687" i="20"/>
  <c r="K689" i="20"/>
  <c r="K228" i="21"/>
  <c r="K265" i="21"/>
  <c r="K267" i="21"/>
  <c r="E706" i="20"/>
  <c r="E328" i="20"/>
  <c r="M215" i="21"/>
  <c r="M215" i="20"/>
  <c r="K302" i="21"/>
  <c r="K303" i="21"/>
  <c r="K317" i="21"/>
  <c r="K326" i="21"/>
  <c r="K682" i="21"/>
  <c r="K684" i="21"/>
  <c r="L675" i="21"/>
  <c r="L675" i="20"/>
  <c r="L675" i="14"/>
  <c r="M84" i="9"/>
  <c r="M235" i="21"/>
  <c r="M235" i="20"/>
  <c r="M239" i="21"/>
  <c r="M239" i="20"/>
  <c r="L671" i="21"/>
  <c r="L671" i="20"/>
  <c r="L674" i="21"/>
  <c r="L674" i="20"/>
  <c r="L726" i="21"/>
  <c r="L726" i="20"/>
  <c r="K678" i="20"/>
  <c r="L289" i="21"/>
  <c r="L290" i="21"/>
  <c r="L292" i="21"/>
  <c r="L289" i="20"/>
  <c r="L290" i="20"/>
  <c r="L292" i="20"/>
  <c r="L302" i="20"/>
  <c r="M95" i="21"/>
  <c r="M95" i="20"/>
  <c r="M732" i="21"/>
  <c r="M732" i="20"/>
  <c r="L254" i="21"/>
  <c r="L254" i="20"/>
  <c r="M68" i="9"/>
  <c r="L254" i="14"/>
  <c r="K678" i="21"/>
  <c r="L683" i="21"/>
  <c r="L683" i="20"/>
  <c r="N242" i="21"/>
  <c r="N242" i="20"/>
  <c r="L667" i="21"/>
  <c r="L667" i="20"/>
  <c r="M240" i="21"/>
  <c r="M240" i="20"/>
  <c r="K255" i="20"/>
  <c r="L238" i="21"/>
  <c r="L245" i="21"/>
  <c r="L246" i="21"/>
  <c r="M672" i="21"/>
  <c r="M672" i="20"/>
  <c r="L673" i="21"/>
  <c r="L673" i="20"/>
  <c r="M82" i="9"/>
  <c r="L673" i="14"/>
  <c r="M241" i="21"/>
  <c r="M241" i="20"/>
  <c r="L253" i="21"/>
  <c r="L255" i="21"/>
  <c r="L253" i="20"/>
  <c r="L255" i="20"/>
  <c r="L273" i="20"/>
  <c r="L275" i="20"/>
  <c r="L216" i="21"/>
  <c r="L216" i="20"/>
  <c r="M223" i="21"/>
  <c r="M224" i="21"/>
  <c r="M223" i="20"/>
  <c r="M224" i="20"/>
  <c r="K269" i="21"/>
  <c r="K271" i="21"/>
  <c r="K248" i="21"/>
  <c r="K283" i="21"/>
  <c r="K315" i="21"/>
  <c r="L688" i="21"/>
  <c r="L688" i="20"/>
  <c r="L688" i="14"/>
  <c r="M90" i="9"/>
  <c r="K255" i="21"/>
  <c r="L669" i="21"/>
  <c r="L669" i="20"/>
  <c r="K756" i="21"/>
  <c r="K756" i="20"/>
  <c r="L238" i="20"/>
  <c r="L245" i="20"/>
  <c r="L246" i="20"/>
  <c r="L238" i="14"/>
  <c r="M58" i="9"/>
  <c r="M234" i="21"/>
  <c r="M234" i="20"/>
  <c r="M693" i="21"/>
  <c r="M693" i="20"/>
  <c r="L214" i="21"/>
  <c r="L214" i="20"/>
  <c r="L243" i="21"/>
  <c r="L243" i="20"/>
  <c r="H696" i="20"/>
  <c r="J318" i="21"/>
  <c r="J652" i="21"/>
  <c r="J259" i="21"/>
  <c r="I259" i="21"/>
  <c r="I263" i="21"/>
  <c r="M236" i="21"/>
  <c r="M236" i="20"/>
  <c r="L727" i="21"/>
  <c r="L727" i="20"/>
  <c r="L670" i="21"/>
  <c r="L670" i="20"/>
  <c r="L668" i="21"/>
  <c r="L668" i="20"/>
  <c r="K756" i="14"/>
  <c r="L218" i="21"/>
  <c r="L218" i="20"/>
  <c r="L102" i="9"/>
  <c r="L755" i="21"/>
  <c r="L755" i="20"/>
  <c r="N237" i="21"/>
  <c r="N237" i="20"/>
  <c r="M233" i="21"/>
  <c r="M233" i="20"/>
  <c r="L657" i="21"/>
  <c r="L512" i="21"/>
  <c r="L605" i="21"/>
  <c r="L426" i="21"/>
  <c r="L332" i="21"/>
  <c r="L294" i="21"/>
  <c r="L764" i="21"/>
  <c r="L741" i="21"/>
  <c r="L463" i="21"/>
  <c r="L596" i="21"/>
  <c r="L206" i="21"/>
  <c r="L187" i="21"/>
  <c r="L764" i="20"/>
  <c r="L149" i="21"/>
  <c r="L94" i="21"/>
  <c r="L605" i="20"/>
  <c r="L463" i="20"/>
  <c r="L113" i="21"/>
  <c r="L187" i="20"/>
  <c r="L657" i="20"/>
  <c r="L426" i="20"/>
  <c r="L596" i="20"/>
  <c r="L512" i="20"/>
  <c r="L332" i="20"/>
  <c r="L294" i="20"/>
  <c r="L741" i="20"/>
  <c r="L94" i="20"/>
  <c r="L113" i="20"/>
  <c r="L149" i="20"/>
  <c r="L206" i="20"/>
  <c r="L217" i="21"/>
  <c r="L219" i="21"/>
  <c r="L220" i="21"/>
  <c r="L221" i="21"/>
  <c r="L226" i="21"/>
  <c r="L217" i="20"/>
  <c r="L219" i="20"/>
  <c r="L220" i="20"/>
  <c r="L221" i="20"/>
  <c r="L226" i="20"/>
  <c r="M46" i="9"/>
  <c r="L217" i="14"/>
  <c r="P676" i="21"/>
  <c r="P677" i="21"/>
  <c r="Q100" i="21"/>
  <c r="P227" i="21"/>
  <c r="S106" i="21"/>
  <c r="R266" i="21"/>
  <c r="U101" i="21"/>
  <c r="T247" i="21"/>
  <c r="M185" i="21"/>
  <c r="O745" i="21"/>
  <c r="O766" i="21"/>
  <c r="S256" i="21"/>
  <c r="T102" i="21"/>
  <c r="Q270" i="21"/>
  <c r="R107" i="21"/>
  <c r="P648" i="21"/>
  <c r="P738" i="21"/>
  <c r="P697" i="21"/>
  <c r="P320" i="21"/>
  <c r="Q98" i="21"/>
  <c r="P642" i="21"/>
  <c r="P357" i="21"/>
  <c r="P359" i="21"/>
  <c r="R108" i="21"/>
  <c r="Q274" i="21"/>
  <c r="S103" i="21"/>
  <c r="R291" i="21"/>
  <c r="S102" i="20"/>
  <c r="R256" i="20"/>
  <c r="R103" i="20"/>
  <c r="Q291" i="20"/>
  <c r="S227" i="20"/>
  <c r="T100" i="20"/>
  <c r="S676" i="20"/>
  <c r="S677" i="20"/>
  <c r="S247" i="20"/>
  <c r="T101" i="20"/>
  <c r="R461" i="21"/>
  <c r="Q461" i="21"/>
  <c r="N575" i="21"/>
  <c r="F706" i="21"/>
  <c r="F328" i="21"/>
  <c r="Q540" i="21"/>
  <c r="R483" i="21"/>
  <c r="R519" i="21"/>
  <c r="S517" i="21"/>
  <c r="P498" i="21"/>
  <c r="O501" i="21"/>
  <c r="O503" i="21"/>
  <c r="O507" i="21"/>
  <c r="M510" i="21"/>
  <c r="P482" i="21"/>
  <c r="O484" i="21"/>
  <c r="N301" i="21"/>
  <c r="N204" i="21"/>
  <c r="R628" i="21"/>
  <c r="M296" i="21"/>
  <c r="M195" i="21"/>
  <c r="I326" i="21"/>
  <c r="F310" i="21"/>
  <c r="F311" i="21"/>
  <c r="S469" i="21"/>
  <c r="N231" i="21"/>
  <c r="G411" i="21"/>
  <c r="J388" i="21"/>
  <c r="J390" i="21"/>
  <c r="Z444" i="21"/>
  <c r="Y445" i="21"/>
  <c r="Y451" i="21"/>
  <c r="I636" i="21"/>
  <c r="I633" i="21"/>
  <c r="O473" i="21"/>
  <c r="O479" i="21"/>
  <c r="P471" i="21"/>
  <c r="O212" i="21"/>
  <c r="N191" i="21"/>
  <c r="O168" i="21"/>
  <c r="O167" i="21"/>
  <c r="O171" i="21"/>
  <c r="O182" i="21"/>
  <c r="J263" i="21"/>
  <c r="H407" i="21"/>
  <c r="H409" i="21"/>
  <c r="I694" i="21"/>
  <c r="S521" i="21"/>
  <c r="R523" i="21"/>
  <c r="R525" i="21"/>
  <c r="S458" i="21"/>
  <c r="S460" i="21"/>
  <c r="N492" i="21"/>
  <c r="N494" i="21"/>
  <c r="N509" i="21"/>
  <c r="F643" i="21"/>
  <c r="F329" i="21"/>
  <c r="F641" i="21"/>
  <c r="F645" i="21"/>
  <c r="P287" i="21"/>
  <c r="O200" i="21"/>
  <c r="N192" i="21"/>
  <c r="J664" i="21"/>
  <c r="J640" i="21"/>
  <c r="H323" i="21"/>
  <c r="U433" i="21"/>
  <c r="T434" i="21"/>
  <c r="T440" i="21"/>
  <c r="T453" i="21"/>
  <c r="F665" i="21"/>
  <c r="F679" i="21"/>
  <c r="F696" i="21"/>
  <c r="J422" i="21"/>
  <c r="C422" i="21"/>
  <c r="C419" i="21"/>
  <c r="C420" i="21"/>
  <c r="Q527" i="21"/>
  <c r="P529" i="21"/>
  <c r="P535" i="21"/>
  <c r="O654" i="21"/>
  <c r="O181" i="21"/>
  <c r="P179" i="21"/>
  <c r="P184" i="21"/>
  <c r="N171" i="21"/>
  <c r="N182" i="21"/>
  <c r="N172" i="21"/>
  <c r="N183" i="21"/>
  <c r="N185" i="21"/>
  <c r="H298" i="21"/>
  <c r="H297" i="21"/>
  <c r="L622" i="21"/>
  <c r="L619" i="21"/>
  <c r="L624" i="21"/>
  <c r="J408" i="21"/>
  <c r="AB438" i="21"/>
  <c r="AC437" i="21"/>
  <c r="O574" i="21"/>
  <c r="O575" i="21"/>
  <c r="Q165" i="21"/>
  <c r="H649" i="21"/>
  <c r="H708" i="21"/>
  <c r="H646" i="21"/>
  <c r="I622" i="21"/>
  <c r="I619" i="21"/>
  <c r="R177" i="21"/>
  <c r="Q178" i="21"/>
  <c r="N251" i="21"/>
  <c r="I318" i="21"/>
  <c r="O373" i="21"/>
  <c r="N377" i="21"/>
  <c r="N378" i="21"/>
  <c r="N385" i="21"/>
  <c r="N389" i="21"/>
  <c r="N404" i="21"/>
  <c r="N408" i="21"/>
  <c r="S545" i="21"/>
  <c r="R551" i="21"/>
  <c r="O541" i="21"/>
  <c r="P539" i="21"/>
  <c r="P629" i="21"/>
  <c r="P631" i="21"/>
  <c r="Q611" i="21"/>
  <c r="P615" i="21"/>
  <c r="P617" i="21"/>
  <c r="D706" i="21"/>
  <c r="D328" i="21"/>
  <c r="I687" i="21"/>
  <c r="F416" i="21"/>
  <c r="T533" i="21"/>
  <c r="U531" i="21"/>
  <c r="E311" i="21"/>
  <c r="G649" i="21"/>
  <c r="G708" i="21"/>
  <c r="G646" i="21"/>
  <c r="U614" i="21"/>
  <c r="K622" i="21"/>
  <c r="K619" i="21"/>
  <c r="K624" i="21"/>
  <c r="D679" i="21"/>
  <c r="S555" i="21"/>
  <c r="R559" i="21"/>
  <c r="D765" i="21"/>
  <c r="D744" i="21"/>
  <c r="M636" i="21"/>
  <c r="M633" i="21"/>
  <c r="M638" i="21"/>
  <c r="Q477" i="21"/>
  <c r="R475" i="21"/>
  <c r="K324" i="21"/>
  <c r="K687" i="21"/>
  <c r="K689" i="21"/>
  <c r="L638" i="21"/>
  <c r="G321" i="21"/>
  <c r="J624" i="20"/>
  <c r="J664" i="20"/>
  <c r="Q107" i="20"/>
  <c r="P270" i="20"/>
  <c r="S108" i="20"/>
  <c r="R274" i="20"/>
  <c r="Q266" i="20"/>
  <c r="R106" i="20"/>
  <c r="R98" i="20"/>
  <c r="Q357" i="20"/>
  <c r="Q359" i="20"/>
  <c r="Q697" i="20"/>
  <c r="Q642" i="20"/>
  <c r="Q648" i="20"/>
  <c r="Q320" i="20"/>
  <c r="Q738" i="20"/>
  <c r="P745" i="20"/>
  <c r="P766" i="20"/>
  <c r="N510" i="20"/>
  <c r="D765" i="20"/>
  <c r="D744" i="20"/>
  <c r="J636" i="20"/>
  <c r="J633" i="20"/>
  <c r="J638" i="20"/>
  <c r="O404" i="20"/>
  <c r="O408" i="20"/>
  <c r="O419" i="20"/>
  <c r="C402" i="20"/>
  <c r="N168" i="20"/>
  <c r="M191" i="20"/>
  <c r="N212" i="20"/>
  <c r="N167" i="20"/>
  <c r="N171" i="20"/>
  <c r="N182" i="20"/>
  <c r="M654" i="20"/>
  <c r="M181" i="20"/>
  <c r="M192" i="20"/>
  <c r="F706" i="20"/>
  <c r="F328" i="20"/>
  <c r="H708" i="20"/>
  <c r="H649" i="20"/>
  <c r="H646" i="20"/>
  <c r="J259" i="20"/>
  <c r="P165" i="20"/>
  <c r="M251" i="20"/>
  <c r="M510" i="20"/>
  <c r="K265" i="20"/>
  <c r="K267" i="20"/>
  <c r="K228" i="20"/>
  <c r="E311" i="20"/>
  <c r="G643" i="20"/>
  <c r="G329" i="20"/>
  <c r="G641" i="20"/>
  <c r="G645" i="20"/>
  <c r="Q469" i="20"/>
  <c r="E709" i="20"/>
  <c r="E698" i="20"/>
  <c r="O533" i="20"/>
  <c r="O535" i="20"/>
  <c r="O574" i="20"/>
  <c r="O575" i="20"/>
  <c r="P531" i="20"/>
  <c r="M172" i="20"/>
  <c r="M183" i="20"/>
  <c r="T545" i="20"/>
  <c r="S551" i="20"/>
  <c r="R629" i="20"/>
  <c r="R631" i="20"/>
  <c r="R615" i="20"/>
  <c r="S611" i="20"/>
  <c r="L257" i="20"/>
  <c r="F664" i="20"/>
  <c r="F640" i="20"/>
  <c r="K618" i="20"/>
  <c r="L192" i="20"/>
  <c r="P373" i="20"/>
  <c r="O385" i="20"/>
  <c r="O389" i="20"/>
  <c r="O377" i="20"/>
  <c r="O378" i="20"/>
  <c r="T628" i="20"/>
  <c r="R483" i="20"/>
  <c r="Q540" i="20"/>
  <c r="G689" i="20"/>
  <c r="H321" i="20"/>
  <c r="M231" i="20"/>
  <c r="M200" i="20"/>
  <c r="M201" i="20"/>
  <c r="S559" i="20"/>
  <c r="T555" i="20"/>
  <c r="J325" i="20"/>
  <c r="F684" i="20"/>
  <c r="N287" i="20"/>
  <c r="Q521" i="20"/>
  <c r="P523" i="20"/>
  <c r="P525" i="20"/>
  <c r="P458" i="20"/>
  <c r="P460" i="20"/>
  <c r="L182" i="20"/>
  <c r="L185" i="20"/>
  <c r="S501" i="20"/>
  <c r="S503" i="20"/>
  <c r="S507" i="20"/>
  <c r="T498" i="20"/>
  <c r="I326" i="20"/>
  <c r="I636" i="20"/>
  <c r="I633" i="20"/>
  <c r="O594" i="20"/>
  <c r="C593" i="20"/>
  <c r="C594" i="20"/>
  <c r="K636" i="20"/>
  <c r="K633" i="20"/>
  <c r="N179" i="20"/>
  <c r="N184" i="20"/>
  <c r="Q434" i="20"/>
  <c r="Q440" i="20"/>
  <c r="Q453" i="20"/>
  <c r="Q539" i="20"/>
  <c r="P541" i="20"/>
  <c r="P484" i="20"/>
  <c r="Q482" i="20"/>
  <c r="P177" i="20"/>
  <c r="O178" i="20"/>
  <c r="O461" i="20"/>
  <c r="T519" i="20"/>
  <c r="U517" i="20"/>
  <c r="O766" i="20"/>
  <c r="O745" i="20"/>
  <c r="D679" i="20"/>
  <c r="O477" i="20"/>
  <c r="O479" i="20"/>
  <c r="O492" i="20"/>
  <c r="O494" i="20"/>
  <c r="O509" i="20"/>
  <c r="P475" i="20"/>
  <c r="M171" i="20"/>
  <c r="M182" i="20"/>
  <c r="J392" i="20"/>
  <c r="G410" i="20"/>
  <c r="H407" i="20"/>
  <c r="H409" i="20"/>
  <c r="F414" i="20"/>
  <c r="I318" i="20"/>
  <c r="G323" i="20"/>
  <c r="R614" i="20"/>
  <c r="Q617" i="20"/>
  <c r="AB445" i="20"/>
  <c r="AB451" i="20"/>
  <c r="K388" i="20"/>
  <c r="K390" i="20"/>
  <c r="E330" i="20"/>
  <c r="G298" i="20"/>
  <c r="G297" i="20"/>
  <c r="I277" i="20"/>
  <c r="I280" i="20"/>
  <c r="I282" i="20"/>
  <c r="I313" i="20"/>
  <c r="I323" i="20"/>
  <c r="I663" i="20"/>
  <c r="I665" i="20"/>
  <c r="I679" i="20"/>
  <c r="L248" i="20"/>
  <c r="L269" i="20"/>
  <c r="L271" i="20"/>
  <c r="R527" i="20"/>
  <c r="Q529" i="20"/>
  <c r="J318" i="20"/>
  <c r="J652" i="20"/>
  <c r="J324" i="20"/>
  <c r="Q471" i="20"/>
  <c r="P473" i="20"/>
  <c r="D706" i="20"/>
  <c r="D328" i="20"/>
  <c r="L201" i="20"/>
  <c r="E649" i="20"/>
  <c r="E708" i="20"/>
  <c r="N251" i="14"/>
  <c r="K619" i="14"/>
  <c r="K624" i="14"/>
  <c r="K664" i="14"/>
  <c r="K226" i="14"/>
  <c r="L296" i="14"/>
  <c r="K296" i="14"/>
  <c r="I296" i="14"/>
  <c r="M296" i="14"/>
  <c r="P154" i="14"/>
  <c r="P158" i="14"/>
  <c r="M301" i="14"/>
  <c r="P291" i="14"/>
  <c r="N676" i="14"/>
  <c r="N677" i="14"/>
  <c r="N227" i="14"/>
  <c r="M629" i="14"/>
  <c r="N611" i="14"/>
  <c r="M615" i="14"/>
  <c r="M617" i="14"/>
  <c r="M619" i="14"/>
  <c r="M624" i="14"/>
  <c r="M664" i="14"/>
  <c r="M628" i="14"/>
  <c r="L631" i="14"/>
  <c r="L540" i="14"/>
  <c r="L541" i="14"/>
  <c r="L574" i="14"/>
  <c r="L575" i="14"/>
  <c r="L484" i="14"/>
  <c r="M483" i="14"/>
  <c r="L745" i="14"/>
  <c r="L766" i="14"/>
  <c r="AD448" i="14"/>
  <c r="AD449" i="14"/>
  <c r="AC449" i="14"/>
  <c r="M357" i="14"/>
  <c r="M359" i="14"/>
  <c r="M738" i="14"/>
  <c r="M648" i="14"/>
  <c r="M642" i="14"/>
  <c r="M697" i="14"/>
  <c r="M320" i="14"/>
  <c r="K492" i="14"/>
  <c r="K494" i="14"/>
  <c r="K509" i="14"/>
  <c r="K510" i="14"/>
  <c r="M533" i="14"/>
  <c r="M535" i="14"/>
  <c r="N531" i="14"/>
  <c r="H226" i="14"/>
  <c r="H228" i="14"/>
  <c r="L726" i="14"/>
  <c r="M96" i="9"/>
  <c r="K248" i="14"/>
  <c r="K283" i="14"/>
  <c r="K315" i="14"/>
  <c r="L113" i="14"/>
  <c r="L94" i="14"/>
  <c r="L596" i="14"/>
  <c r="L741" i="14"/>
  <c r="L294" i="14"/>
  <c r="L426" i="14"/>
  <c r="L206" i="14"/>
  <c r="L463" i="14"/>
  <c r="L149" i="14"/>
  <c r="L657" i="14"/>
  <c r="L187" i="14"/>
  <c r="L512" i="14"/>
  <c r="L764" i="14"/>
  <c r="L332" i="14"/>
  <c r="M36" i="9"/>
  <c r="L605" i="14"/>
  <c r="M47" i="9"/>
  <c r="L218" i="14"/>
  <c r="K678" i="14"/>
  <c r="N98" i="9"/>
  <c r="M732" i="14"/>
  <c r="J226" i="14"/>
  <c r="J228" i="14"/>
  <c r="N53" i="9"/>
  <c r="M233" i="14"/>
  <c r="N37" i="9"/>
  <c r="M95" i="14"/>
  <c r="I284" i="14"/>
  <c r="I316" i="14"/>
  <c r="I325" i="14"/>
  <c r="I692" i="14"/>
  <c r="I694" i="14"/>
  <c r="M101" i="9"/>
  <c r="L755" i="14"/>
  <c r="M83" i="9"/>
  <c r="L674" i="14"/>
  <c r="M223" i="14"/>
  <c r="M224" i="14"/>
  <c r="N49" i="9"/>
  <c r="I283" i="14"/>
  <c r="I315" i="14"/>
  <c r="I324" i="14"/>
  <c r="I687" i="14"/>
  <c r="I689" i="14"/>
  <c r="G324" i="14"/>
  <c r="J269" i="14"/>
  <c r="J271" i="14"/>
  <c r="J248" i="14"/>
  <c r="O461" i="14"/>
  <c r="M472" i="14"/>
  <c r="L473" i="14"/>
  <c r="L479" i="14"/>
  <c r="M63" i="9"/>
  <c r="L243" i="14"/>
  <c r="Y469" i="14"/>
  <c r="N44" i="9"/>
  <c r="M215" i="14"/>
  <c r="L667" i="14"/>
  <c r="H593" i="14"/>
  <c r="F652" i="14"/>
  <c r="AC444" i="14"/>
  <c r="AB445" i="14"/>
  <c r="AB451" i="14"/>
  <c r="H257" i="14"/>
  <c r="H273" i="14"/>
  <c r="H275" i="14"/>
  <c r="N81" i="9"/>
  <c r="M672" i="14"/>
  <c r="Y482" i="14"/>
  <c r="H185" i="14"/>
  <c r="O529" i="14"/>
  <c r="P527" i="14"/>
  <c r="N59" i="9"/>
  <c r="M239" i="14"/>
  <c r="N551" i="14"/>
  <c r="O545" i="14"/>
  <c r="J257" i="14"/>
  <c r="J273" i="14"/>
  <c r="J275" i="14"/>
  <c r="K636" i="14"/>
  <c r="K633" i="14"/>
  <c r="F410" i="14"/>
  <c r="G407" i="14"/>
  <c r="G409" i="14"/>
  <c r="L669" i="14"/>
  <c r="M78" i="9"/>
  <c r="S144" i="14"/>
  <c r="R146" i="14"/>
  <c r="F682" i="14"/>
  <c r="R517" i="14"/>
  <c r="Q519" i="14"/>
  <c r="O62" i="9"/>
  <c r="N242" i="14"/>
  <c r="M236" i="14"/>
  <c r="N56" i="9"/>
  <c r="J303" i="14"/>
  <c r="J317" i="14"/>
  <c r="J326" i="14"/>
  <c r="J682" i="14"/>
  <c r="J684" i="14"/>
  <c r="J204" i="14"/>
  <c r="J632" i="14"/>
  <c r="J301" i="14"/>
  <c r="O614" i="14"/>
  <c r="K303" i="14"/>
  <c r="K317" i="14"/>
  <c r="K326" i="14"/>
  <c r="K682" i="14"/>
  <c r="K684" i="14"/>
  <c r="M234" i="14"/>
  <c r="N54" i="9"/>
  <c r="F277" i="14"/>
  <c r="F280" i="14"/>
  <c r="F282" i="14"/>
  <c r="F313" i="14"/>
  <c r="Q471" i="14"/>
  <c r="P523" i="14"/>
  <c r="P525" i="14"/>
  <c r="Q521" i="14"/>
  <c r="O475" i="14"/>
  <c r="N477" i="14"/>
  <c r="AB437" i="14"/>
  <c r="AA438" i="14"/>
  <c r="O373" i="14"/>
  <c r="N377" i="14"/>
  <c r="N385" i="14"/>
  <c r="N389" i="14"/>
  <c r="N539" i="14"/>
  <c r="L756" i="14"/>
  <c r="J388" i="14"/>
  <c r="J390" i="14"/>
  <c r="S580" i="14"/>
  <c r="R581" i="14"/>
  <c r="M256" i="14"/>
  <c r="R433" i="14"/>
  <c r="Q434" i="14"/>
  <c r="Q440" i="14"/>
  <c r="L253" i="14"/>
  <c r="L255" i="14"/>
  <c r="M67" i="9"/>
  <c r="M79" i="9"/>
  <c r="L670" i="14"/>
  <c r="M97" i="9"/>
  <c r="L727" i="14"/>
  <c r="E664" i="14"/>
  <c r="E640" i="14"/>
  <c r="M693" i="14"/>
  <c r="N93" i="9"/>
  <c r="I622" i="14"/>
  <c r="I619" i="14"/>
  <c r="N498" i="14"/>
  <c r="M501" i="14"/>
  <c r="M503" i="14"/>
  <c r="M507" i="14"/>
  <c r="L668" i="14"/>
  <c r="M77" i="9"/>
  <c r="L204" i="14"/>
  <c r="L632" i="14"/>
  <c r="L301" i="14"/>
  <c r="D665" i="14"/>
  <c r="N60" i="9"/>
  <c r="M240" i="14"/>
  <c r="L245" i="14"/>
  <c r="L246" i="14"/>
  <c r="Q153" i="14"/>
  <c r="Q154" i="14"/>
  <c r="P591" i="14"/>
  <c r="H248" i="14"/>
  <c r="H269" i="14"/>
  <c r="H271" i="14"/>
  <c r="K265" i="14"/>
  <c r="K267" i="14"/>
  <c r="K228" i="14"/>
  <c r="D310" i="14"/>
  <c r="E321" i="14"/>
  <c r="N458" i="14"/>
  <c r="N460" i="14"/>
  <c r="D649" i="14"/>
  <c r="D708" i="14"/>
  <c r="N247" i="14"/>
  <c r="G303" i="14"/>
  <c r="G204" i="14"/>
  <c r="G301" i="14"/>
  <c r="G277" i="14"/>
  <c r="G280" i="14"/>
  <c r="G282" i="14"/>
  <c r="G313" i="14"/>
  <c r="G323" i="14"/>
  <c r="G663" i="14"/>
  <c r="N237" i="14"/>
  <c r="O57" i="9"/>
  <c r="L289" i="14"/>
  <c r="L290" i="14"/>
  <c r="L292" i="14"/>
  <c r="L302" i="14"/>
  <c r="M71" i="9"/>
  <c r="H359" i="14"/>
  <c r="H510" i="14"/>
  <c r="M183" i="14"/>
  <c r="M185" i="14"/>
  <c r="P156" i="14"/>
  <c r="P166" i="14"/>
  <c r="P465" i="14"/>
  <c r="P572" i="14"/>
  <c r="P583" i="14"/>
  <c r="P585" i="14"/>
  <c r="P587" i="14"/>
  <c r="P570" i="14"/>
  <c r="G195" i="14"/>
  <c r="G296" i="14"/>
  <c r="G316" i="14"/>
  <c r="J622" i="14"/>
  <c r="J619" i="14"/>
  <c r="H303" i="14"/>
  <c r="H317" i="14"/>
  <c r="H326" i="14"/>
  <c r="H682" i="14"/>
  <c r="H684" i="14"/>
  <c r="H204" i="14"/>
  <c r="H632" i="14"/>
  <c r="H301" i="14"/>
  <c r="K257" i="14"/>
  <c r="K273" i="14"/>
  <c r="K275" i="14"/>
  <c r="N270" i="14"/>
  <c r="M80" i="9"/>
  <c r="L671" i="14"/>
  <c r="I228" i="14"/>
  <c r="I265" i="14"/>
  <c r="I267" i="14"/>
  <c r="H402" i="14"/>
  <c r="M45" i="9"/>
  <c r="L216" i="14"/>
  <c r="L619" i="14"/>
  <c r="L624" i="14"/>
  <c r="N55" i="9"/>
  <c r="M235" i="14"/>
  <c r="N61" i="9"/>
  <c r="M241" i="14"/>
  <c r="O157" i="14"/>
  <c r="O159" i="14"/>
  <c r="O178" i="14"/>
  <c r="O156" i="14"/>
  <c r="O166" i="14"/>
  <c r="O158" i="14"/>
  <c r="O350" i="14"/>
  <c r="O572" i="14"/>
  <c r="O583" i="14"/>
  <c r="O566" i="14"/>
  <c r="O465" i="14"/>
  <c r="O591" i="14"/>
  <c r="O570" i="14"/>
  <c r="N591" i="14"/>
  <c r="M43" i="9"/>
  <c r="L214" i="14"/>
  <c r="D321" i="14"/>
  <c r="M266" i="14"/>
  <c r="P458" i="14"/>
  <c r="P460" i="14"/>
  <c r="F638" i="14"/>
  <c r="H195" i="14"/>
  <c r="H618" i="14"/>
  <c r="H296" i="14"/>
  <c r="L274" i="14"/>
  <c r="P555" i="14"/>
  <c r="O559" i="14"/>
  <c r="I303" i="14"/>
  <c r="I317" i="14"/>
  <c r="I326" i="14"/>
  <c r="I682" i="14"/>
  <c r="I684" i="14"/>
  <c r="I204" i="14"/>
  <c r="I632" i="14"/>
  <c r="I301" i="14"/>
  <c r="L683" i="14"/>
  <c r="M87" i="9"/>
  <c r="N182" i="14"/>
  <c r="M238" i="20"/>
  <c r="M245" i="20"/>
  <c r="M246" i="20"/>
  <c r="M248" i="20"/>
  <c r="L228" i="21"/>
  <c r="L265" i="21"/>
  <c r="L267" i="21"/>
  <c r="N693" i="21"/>
  <c r="N693" i="20"/>
  <c r="M674" i="21"/>
  <c r="M674" i="20"/>
  <c r="M670" i="20"/>
  <c r="M670" i="21"/>
  <c r="M726" i="21"/>
  <c r="M726" i="20"/>
  <c r="O242" i="21"/>
  <c r="O242" i="20"/>
  <c r="N672" i="20"/>
  <c r="N672" i="21"/>
  <c r="N215" i="21"/>
  <c r="N215" i="20"/>
  <c r="M217" i="21"/>
  <c r="M216" i="21"/>
  <c r="M219" i="21"/>
  <c r="M220" i="21"/>
  <c r="M221" i="21"/>
  <c r="M226" i="21"/>
  <c r="M217" i="20"/>
  <c r="M216" i="20"/>
  <c r="M219" i="20"/>
  <c r="M220" i="20"/>
  <c r="M221" i="20"/>
  <c r="M226" i="20"/>
  <c r="M217" i="14"/>
  <c r="N46" i="9"/>
  <c r="N223" i="21"/>
  <c r="N224" i="21"/>
  <c r="N223" i="20"/>
  <c r="N241" i="21"/>
  <c r="N241" i="20"/>
  <c r="M253" i="21"/>
  <c r="M253" i="20"/>
  <c r="L756" i="21"/>
  <c r="L756" i="20"/>
  <c r="I277" i="21"/>
  <c r="I280" i="21"/>
  <c r="I282" i="21"/>
  <c r="I313" i="21"/>
  <c r="I323" i="21"/>
  <c r="I663" i="21"/>
  <c r="M688" i="21"/>
  <c r="M688" i="20"/>
  <c r="M688" i="14"/>
  <c r="N90" i="9"/>
  <c r="L257" i="21"/>
  <c r="L273" i="21"/>
  <c r="L275" i="21"/>
  <c r="M218" i="21"/>
  <c r="M218" i="20"/>
  <c r="M238" i="21"/>
  <c r="M245" i="21"/>
  <c r="M246" i="21"/>
  <c r="M238" i="14"/>
  <c r="N58" i="9"/>
  <c r="L269" i="21"/>
  <c r="L271" i="21"/>
  <c r="L248" i="21"/>
  <c r="L283" i="21"/>
  <c r="L315" i="21"/>
  <c r="M243" i="21"/>
  <c r="M243" i="20"/>
  <c r="N239" i="21"/>
  <c r="N239" i="20"/>
  <c r="M289" i="21"/>
  <c r="M290" i="21"/>
  <c r="M292" i="21"/>
  <c r="M289" i="20"/>
  <c r="M290" i="20"/>
  <c r="M292" i="20"/>
  <c r="M302" i="20"/>
  <c r="M669" i="21"/>
  <c r="M669" i="20"/>
  <c r="N235" i="21"/>
  <c r="N235" i="20"/>
  <c r="N234" i="21"/>
  <c r="N234" i="20"/>
  <c r="N732" i="21"/>
  <c r="N732" i="20"/>
  <c r="K273" i="21"/>
  <c r="K275" i="21"/>
  <c r="K257" i="21"/>
  <c r="K284" i="21"/>
  <c r="K316" i="21"/>
  <c r="M657" i="21"/>
  <c r="M512" i="21"/>
  <c r="M605" i="21"/>
  <c r="M426" i="21"/>
  <c r="M332" i="21"/>
  <c r="M294" i="21"/>
  <c r="M764" i="21"/>
  <c r="M741" i="21"/>
  <c r="M463" i="21"/>
  <c r="M596" i="21"/>
  <c r="M206" i="21"/>
  <c r="M187" i="21"/>
  <c r="M764" i="20"/>
  <c r="M741" i="20"/>
  <c r="M149" i="21"/>
  <c r="M94" i="21"/>
  <c r="M605" i="20"/>
  <c r="M463" i="20"/>
  <c r="M113" i="21"/>
  <c r="M512" i="20"/>
  <c r="M657" i="20"/>
  <c r="M426" i="20"/>
  <c r="M596" i="20"/>
  <c r="M332" i="20"/>
  <c r="M294" i="20"/>
  <c r="M94" i="20"/>
  <c r="M187" i="20"/>
  <c r="M149" i="20"/>
  <c r="M113" i="20"/>
  <c r="M206" i="20"/>
  <c r="H698" i="20"/>
  <c r="H709" i="20"/>
  <c r="M254" i="21"/>
  <c r="M254" i="20"/>
  <c r="M254" i="14"/>
  <c r="N68" i="9"/>
  <c r="K257" i="20"/>
  <c r="K273" i="20"/>
  <c r="K275" i="20"/>
  <c r="M683" i="21"/>
  <c r="M683" i="20"/>
  <c r="L678" i="20"/>
  <c r="M673" i="21"/>
  <c r="M673" i="20"/>
  <c r="M673" i="14"/>
  <c r="N82" i="9"/>
  <c r="L219" i="14"/>
  <c r="L220" i="14"/>
  <c r="L221" i="14"/>
  <c r="L226" i="14"/>
  <c r="N240" i="21"/>
  <c r="N240" i="20"/>
  <c r="M727" i="21"/>
  <c r="M727" i="20"/>
  <c r="N236" i="21"/>
  <c r="N236" i="20"/>
  <c r="N233" i="21"/>
  <c r="N233" i="20"/>
  <c r="L678" i="21"/>
  <c r="M102" i="9"/>
  <c r="M755" i="21"/>
  <c r="M755" i="20"/>
  <c r="N95" i="21"/>
  <c r="N95" i="20"/>
  <c r="O237" i="21"/>
  <c r="O237" i="20"/>
  <c r="M668" i="21"/>
  <c r="M675" i="21"/>
  <c r="M678" i="21"/>
  <c r="M668" i="20"/>
  <c r="M214" i="21"/>
  <c r="M214" i="20"/>
  <c r="M671" i="21"/>
  <c r="M671" i="20"/>
  <c r="M667" i="21"/>
  <c r="M667" i="20"/>
  <c r="L302" i="21"/>
  <c r="L303" i="21"/>
  <c r="L317" i="21"/>
  <c r="L326" i="21"/>
  <c r="L682" i="21"/>
  <c r="L684" i="21"/>
  <c r="M675" i="20"/>
  <c r="M675" i="14"/>
  <c r="N84" i="9"/>
  <c r="Q676" i="21"/>
  <c r="Q677" i="21"/>
  <c r="R100" i="21"/>
  <c r="Q227" i="21"/>
  <c r="U102" i="21"/>
  <c r="T256" i="21"/>
  <c r="R274" i="21"/>
  <c r="S108" i="21"/>
  <c r="Q648" i="21"/>
  <c r="Q738" i="21"/>
  <c r="Q697" i="21"/>
  <c r="Q320" i="21"/>
  <c r="R98" i="21"/>
  <c r="Q642" i="21"/>
  <c r="Q357" i="21"/>
  <c r="Q359" i="21"/>
  <c r="P745" i="21"/>
  <c r="P766" i="21"/>
  <c r="S107" i="21"/>
  <c r="R270" i="21"/>
  <c r="V101" i="21"/>
  <c r="U247" i="21"/>
  <c r="T103" i="21"/>
  <c r="S291" i="21"/>
  <c r="T106" i="21"/>
  <c r="S266" i="21"/>
  <c r="U101" i="20"/>
  <c r="T247" i="20"/>
  <c r="U100" i="20"/>
  <c r="T227" i="20"/>
  <c r="T676" i="20"/>
  <c r="T677" i="20"/>
  <c r="R291" i="20"/>
  <c r="S103" i="20"/>
  <c r="T102" i="20"/>
  <c r="S256" i="20"/>
  <c r="Q529" i="21"/>
  <c r="Q535" i="21"/>
  <c r="R527" i="21"/>
  <c r="S461" i="21"/>
  <c r="O231" i="21"/>
  <c r="Z445" i="21"/>
  <c r="Z451" i="21"/>
  <c r="AA444" i="21"/>
  <c r="S559" i="21"/>
  <c r="T555" i="21"/>
  <c r="E765" i="21"/>
  <c r="E744" i="21"/>
  <c r="O377" i="21"/>
  <c r="O378" i="21"/>
  <c r="P373" i="21"/>
  <c r="O385" i="21"/>
  <c r="O389" i="21"/>
  <c r="O404" i="21"/>
  <c r="H746" i="21"/>
  <c r="H767" i="21"/>
  <c r="L664" i="21"/>
  <c r="L640" i="21"/>
  <c r="O251" i="21"/>
  <c r="J391" i="21"/>
  <c r="Q482" i="21"/>
  <c r="P484" i="21"/>
  <c r="U533" i="21"/>
  <c r="V531" i="21"/>
  <c r="I652" i="21"/>
  <c r="P212" i="21"/>
  <c r="O191" i="21"/>
  <c r="P168" i="21"/>
  <c r="P167" i="21"/>
  <c r="P171" i="21"/>
  <c r="P182" i="21"/>
  <c r="O172" i="21"/>
  <c r="O183" i="21"/>
  <c r="I682" i="21"/>
  <c r="D696" i="21"/>
  <c r="F709" i="21"/>
  <c r="F698" i="21"/>
  <c r="T521" i="21"/>
  <c r="S523" i="21"/>
  <c r="S525" i="21"/>
  <c r="G414" i="21"/>
  <c r="M618" i="21"/>
  <c r="K664" i="21"/>
  <c r="K640" i="21"/>
  <c r="Q629" i="21"/>
  <c r="Q631" i="21"/>
  <c r="R611" i="21"/>
  <c r="Q615" i="21"/>
  <c r="Q617" i="21"/>
  <c r="H306" i="21"/>
  <c r="N510" i="21"/>
  <c r="F710" i="21"/>
  <c r="Q287" i="21"/>
  <c r="P200" i="21"/>
  <c r="R165" i="21"/>
  <c r="O201" i="21"/>
  <c r="T458" i="21"/>
  <c r="T460" i="21"/>
  <c r="P501" i="21"/>
  <c r="P503" i="21"/>
  <c r="P507" i="21"/>
  <c r="Q498" i="21"/>
  <c r="D330" i="21"/>
  <c r="P541" i="21"/>
  <c r="P574" i="21"/>
  <c r="P575" i="21"/>
  <c r="Q539" i="21"/>
  <c r="R179" i="21"/>
  <c r="R184" i="21"/>
  <c r="S177" i="21"/>
  <c r="R178" i="21"/>
  <c r="V433" i="21"/>
  <c r="U434" i="21"/>
  <c r="U440" i="21"/>
  <c r="U453" i="21"/>
  <c r="H410" i="21"/>
  <c r="I407" i="21"/>
  <c r="I409" i="21"/>
  <c r="P473" i="21"/>
  <c r="P479" i="21"/>
  <c r="Q471" i="21"/>
  <c r="S519" i="21"/>
  <c r="T517" i="21"/>
  <c r="V614" i="21"/>
  <c r="Q179" i="21"/>
  <c r="Q184" i="21"/>
  <c r="AD437" i="21"/>
  <c r="AD438" i="21"/>
  <c r="AC438" i="21"/>
  <c r="F708" i="21"/>
  <c r="F649" i="21"/>
  <c r="F646" i="21"/>
  <c r="O492" i="21"/>
  <c r="O494" i="21"/>
  <c r="O509" i="21"/>
  <c r="N296" i="21"/>
  <c r="N195" i="21"/>
  <c r="N618" i="21"/>
  <c r="G706" i="21"/>
  <c r="G328" i="21"/>
  <c r="G330" i="21"/>
  <c r="O185" i="21"/>
  <c r="H663" i="21"/>
  <c r="S628" i="21"/>
  <c r="R540" i="21"/>
  <c r="S483" i="21"/>
  <c r="R477" i="21"/>
  <c r="S475" i="21"/>
  <c r="I689" i="21"/>
  <c r="S551" i="21"/>
  <c r="T545" i="21"/>
  <c r="I624" i="21"/>
  <c r="J643" i="21"/>
  <c r="J329" i="21"/>
  <c r="J641" i="21"/>
  <c r="J645" i="21"/>
  <c r="I638" i="21"/>
  <c r="T469" i="21"/>
  <c r="F765" i="21"/>
  <c r="F744" i="21"/>
  <c r="G767" i="21"/>
  <c r="G746" i="21"/>
  <c r="G651" i="21"/>
  <c r="G653" i="21"/>
  <c r="G655" i="21"/>
  <c r="J277" i="21"/>
  <c r="J280" i="21"/>
  <c r="J282" i="21"/>
  <c r="J313" i="21"/>
  <c r="N632" i="21"/>
  <c r="F330" i="21"/>
  <c r="J640" i="20"/>
  <c r="M185" i="20"/>
  <c r="R107" i="20"/>
  <c r="Q270" i="20"/>
  <c r="S106" i="20"/>
  <c r="R266" i="20"/>
  <c r="L284" i="20"/>
  <c r="L316" i="20"/>
  <c r="L325" i="20"/>
  <c r="L692" i="20"/>
  <c r="L694" i="20"/>
  <c r="T108" i="20"/>
  <c r="S274" i="20"/>
  <c r="Q766" i="20"/>
  <c r="Q745" i="20"/>
  <c r="S98" i="20"/>
  <c r="R697" i="20"/>
  <c r="R642" i="20"/>
  <c r="R320" i="20"/>
  <c r="R648" i="20"/>
  <c r="R357" i="20"/>
  <c r="R359" i="20"/>
  <c r="R738" i="20"/>
  <c r="O510" i="20"/>
  <c r="J643" i="20"/>
  <c r="J329" i="20"/>
  <c r="J641" i="20"/>
  <c r="J645" i="20"/>
  <c r="O654" i="20"/>
  <c r="O181" i="20"/>
  <c r="F416" i="20"/>
  <c r="M301" i="20"/>
  <c r="M204" i="20"/>
  <c r="M632" i="20"/>
  <c r="F643" i="20"/>
  <c r="F329" i="20"/>
  <c r="F330" i="20"/>
  <c r="F641" i="20"/>
  <c r="F645" i="20"/>
  <c r="P533" i="20"/>
  <c r="P535" i="20"/>
  <c r="P574" i="20"/>
  <c r="Q531" i="20"/>
  <c r="M296" i="20"/>
  <c r="M195" i="20"/>
  <c r="M618" i="20"/>
  <c r="G306" i="20"/>
  <c r="S483" i="20"/>
  <c r="R540" i="20"/>
  <c r="F665" i="20"/>
  <c r="E744" i="20"/>
  <c r="E765" i="20"/>
  <c r="O212" i="20"/>
  <c r="N191" i="20"/>
  <c r="O167" i="20"/>
  <c r="O168" i="20"/>
  <c r="O172" i="20"/>
  <c r="O183" i="20"/>
  <c r="J687" i="20"/>
  <c r="G411" i="20"/>
  <c r="G414" i="20"/>
  <c r="G416" i="20"/>
  <c r="G710" i="20"/>
  <c r="U519" i="20"/>
  <c r="V517" i="20"/>
  <c r="R539" i="20"/>
  <c r="Q541" i="20"/>
  <c r="R521" i="20"/>
  <c r="Q523" i="20"/>
  <c r="Q525" i="20"/>
  <c r="Q165" i="20"/>
  <c r="I652" i="20"/>
  <c r="E711" i="20"/>
  <c r="H410" i="20"/>
  <c r="H411" i="20"/>
  <c r="H414" i="20"/>
  <c r="H416" i="20"/>
  <c r="H710" i="20"/>
  <c r="I638" i="20"/>
  <c r="I640" i="20"/>
  <c r="U628" i="20"/>
  <c r="P461" i="20"/>
  <c r="E767" i="20"/>
  <c r="E746" i="20"/>
  <c r="E651" i="20"/>
  <c r="E653" i="20"/>
  <c r="K391" i="20"/>
  <c r="K392" i="20"/>
  <c r="S629" i="20"/>
  <c r="S631" i="20"/>
  <c r="S615" i="20"/>
  <c r="T611" i="20"/>
  <c r="N231" i="20"/>
  <c r="L301" i="20"/>
  <c r="L303" i="20"/>
  <c r="L204" i="20"/>
  <c r="L632" i="20"/>
  <c r="R529" i="20"/>
  <c r="S527" i="20"/>
  <c r="AD445" i="20"/>
  <c r="AC445" i="20"/>
  <c r="AC451" i="20"/>
  <c r="H706" i="20"/>
  <c r="H328" i="20"/>
  <c r="H330" i="20"/>
  <c r="J263" i="20"/>
  <c r="N224" i="20"/>
  <c r="L265" i="20"/>
  <c r="L267" i="20"/>
  <c r="L228" i="20"/>
  <c r="N200" i="20"/>
  <c r="O287" i="20"/>
  <c r="Q458" i="20"/>
  <c r="Q460" i="20"/>
  <c r="I682" i="20"/>
  <c r="P385" i="20"/>
  <c r="P389" i="20"/>
  <c r="Q373" i="20"/>
  <c r="P377" i="20"/>
  <c r="P378" i="20"/>
  <c r="P404" i="20"/>
  <c r="P408" i="20"/>
  <c r="L283" i="20"/>
  <c r="L315" i="20"/>
  <c r="Q475" i="20"/>
  <c r="P477" i="20"/>
  <c r="P479" i="20"/>
  <c r="P492" i="20"/>
  <c r="P494" i="20"/>
  <c r="P509" i="20"/>
  <c r="P510" i="20"/>
  <c r="O179" i="20"/>
  <c r="O184" i="20"/>
  <c r="R434" i="20"/>
  <c r="R440" i="20"/>
  <c r="R453" i="20"/>
  <c r="T501" i="20"/>
  <c r="T503" i="20"/>
  <c r="T507" i="20"/>
  <c r="C507" i="20"/>
  <c r="U498" i="20"/>
  <c r="L296" i="20"/>
  <c r="L195" i="20"/>
  <c r="L618" i="20"/>
  <c r="R469" i="20"/>
  <c r="H767" i="20"/>
  <c r="H746" i="20"/>
  <c r="H651" i="20"/>
  <c r="H653" i="20"/>
  <c r="H655" i="20"/>
  <c r="N251" i="20"/>
  <c r="D330" i="20"/>
  <c r="S614" i="20"/>
  <c r="R617" i="20"/>
  <c r="Q177" i="20"/>
  <c r="P178" i="20"/>
  <c r="P179" i="20"/>
  <c r="P184" i="20"/>
  <c r="J692" i="20"/>
  <c r="U545" i="20"/>
  <c r="T551" i="20"/>
  <c r="G649" i="20"/>
  <c r="G708" i="20"/>
  <c r="G646" i="20"/>
  <c r="N172" i="20"/>
  <c r="N183" i="20"/>
  <c r="R471" i="20"/>
  <c r="Q473" i="20"/>
  <c r="N654" i="20"/>
  <c r="N181" i="20"/>
  <c r="I297" i="20"/>
  <c r="I298" i="20"/>
  <c r="I306" i="20"/>
  <c r="T559" i="20"/>
  <c r="U555" i="20"/>
  <c r="G663" i="20"/>
  <c r="D696" i="20"/>
  <c r="Q484" i="20"/>
  <c r="R482" i="20"/>
  <c r="K638" i="20"/>
  <c r="K622" i="20"/>
  <c r="K619" i="20"/>
  <c r="O422" i="20"/>
  <c r="C422" i="20"/>
  <c r="C419" i="20"/>
  <c r="C420" i="20"/>
  <c r="P566" i="14"/>
  <c r="P350" i="14"/>
  <c r="P354" i="14"/>
  <c r="P401" i="14"/>
  <c r="P402" i="14"/>
  <c r="P157" i="14"/>
  <c r="P167" i="14"/>
  <c r="P159" i="14"/>
  <c r="P178" i="14"/>
  <c r="O200" i="14"/>
  <c r="J624" i="14"/>
  <c r="J664" i="14"/>
  <c r="L492" i="14"/>
  <c r="L494" i="14"/>
  <c r="L509" i="14"/>
  <c r="L510" i="14"/>
  <c r="Q291" i="14"/>
  <c r="I624" i="14"/>
  <c r="C449" i="14"/>
  <c r="O227" i="14"/>
  <c r="O676" i="14"/>
  <c r="O677" i="14"/>
  <c r="O531" i="14"/>
  <c r="N533" i="14"/>
  <c r="N535" i="14"/>
  <c r="M540" i="14"/>
  <c r="M541" i="14"/>
  <c r="M574" i="14"/>
  <c r="M575" i="14"/>
  <c r="M484" i="14"/>
  <c r="N483" i="14"/>
  <c r="K638" i="14"/>
  <c r="K640" i="14"/>
  <c r="K645" i="14"/>
  <c r="K649" i="14"/>
  <c r="N648" i="14"/>
  <c r="N738" i="14"/>
  <c r="N357" i="14"/>
  <c r="N359" i="14"/>
  <c r="N697" i="14"/>
  <c r="N320" i="14"/>
  <c r="N642" i="14"/>
  <c r="M631" i="14"/>
  <c r="M633" i="14"/>
  <c r="M638" i="14"/>
  <c r="M640" i="14"/>
  <c r="M329" i="14"/>
  <c r="N628" i="14"/>
  <c r="N615" i="14"/>
  <c r="N617" i="14"/>
  <c r="O611" i="14"/>
  <c r="N629" i="14"/>
  <c r="M745" i="14"/>
  <c r="M766" i="14"/>
  <c r="H265" i="14"/>
  <c r="H267" i="14"/>
  <c r="J265" i="14"/>
  <c r="J267" i="14"/>
  <c r="J283" i="14"/>
  <c r="J315" i="14"/>
  <c r="J324" i="14"/>
  <c r="J687" i="14"/>
  <c r="J689" i="14"/>
  <c r="M726" i="14"/>
  <c r="N96" i="9"/>
  <c r="H284" i="14"/>
  <c r="H316" i="14"/>
  <c r="H325" i="14"/>
  <c r="H692" i="14"/>
  <c r="H694" i="14"/>
  <c r="M218" i="14"/>
  <c r="N47" i="9"/>
  <c r="M741" i="14"/>
  <c r="N36" i="9"/>
  <c r="M463" i="14"/>
  <c r="M294" i="14"/>
  <c r="M596" i="14"/>
  <c r="M187" i="14"/>
  <c r="M512" i="14"/>
  <c r="M426" i="14"/>
  <c r="M206" i="14"/>
  <c r="M149" i="14"/>
  <c r="M764" i="14"/>
  <c r="M605" i="14"/>
  <c r="M113" i="14"/>
  <c r="M332" i="14"/>
  <c r="M657" i="14"/>
  <c r="M94" i="14"/>
  <c r="M245" i="14"/>
  <c r="M246" i="14"/>
  <c r="M248" i="14"/>
  <c r="L303" i="14"/>
  <c r="L317" i="14"/>
  <c r="L326" i="14"/>
  <c r="L682" i="14"/>
  <c r="L684" i="14"/>
  <c r="O53" i="9"/>
  <c r="N233" i="14"/>
  <c r="N223" i="14"/>
  <c r="N224" i="14"/>
  <c r="O49" i="9"/>
  <c r="N83" i="9"/>
  <c r="M674" i="14"/>
  <c r="O37" i="9"/>
  <c r="N95" i="14"/>
  <c r="N101" i="9"/>
  <c r="M755" i="14"/>
  <c r="N732" i="14"/>
  <c r="O98" i="9"/>
  <c r="L265" i="14"/>
  <c r="L267" i="14"/>
  <c r="L228" i="14"/>
  <c r="O287" i="14"/>
  <c r="N200" i="14"/>
  <c r="O179" i="14"/>
  <c r="P179" i="14"/>
  <c r="P184" i="14"/>
  <c r="N461" i="14"/>
  <c r="O585" i="14"/>
  <c r="O247" i="14"/>
  <c r="M756" i="14"/>
  <c r="F684" i="14"/>
  <c r="I636" i="14"/>
  <c r="I633" i="14"/>
  <c r="F640" i="14"/>
  <c r="L664" i="14"/>
  <c r="I259" i="14"/>
  <c r="N80" i="9"/>
  <c r="M671" i="14"/>
  <c r="G325" i="14"/>
  <c r="P593" i="14"/>
  <c r="P594" i="14"/>
  <c r="G298" i="14"/>
  <c r="G306" i="14"/>
  <c r="G297" i="14"/>
  <c r="L636" i="14"/>
  <c r="L633" i="14"/>
  <c r="N79" i="9"/>
  <c r="M670" i="14"/>
  <c r="J636" i="14"/>
  <c r="J633" i="14"/>
  <c r="N76" i="9"/>
  <c r="M667" i="14"/>
  <c r="N63" i="9"/>
  <c r="M243" i="14"/>
  <c r="H404" i="14"/>
  <c r="H419" i="14"/>
  <c r="O191" i="14"/>
  <c r="P168" i="14"/>
  <c r="P172" i="14"/>
  <c r="P170" i="14"/>
  <c r="P212" i="14"/>
  <c r="O498" i="14"/>
  <c r="N501" i="14"/>
  <c r="N503" i="14"/>
  <c r="N507" i="14"/>
  <c r="I664" i="14"/>
  <c r="N693" i="14"/>
  <c r="O93" i="9"/>
  <c r="M253" i="14"/>
  <c r="M255" i="14"/>
  <c r="N67" i="9"/>
  <c r="O539" i="14"/>
  <c r="O477" i="14"/>
  <c r="P475" i="14"/>
  <c r="F323" i="14"/>
  <c r="P62" i="9"/>
  <c r="O242" i="14"/>
  <c r="Z482" i="14"/>
  <c r="T580" i="14"/>
  <c r="S581" i="14"/>
  <c r="N593" i="14"/>
  <c r="N594" i="14"/>
  <c r="H745" i="14"/>
  <c r="H766" i="14"/>
  <c r="N43" i="9"/>
  <c r="M214" i="14"/>
  <c r="O61" i="9"/>
  <c r="N241" i="14"/>
  <c r="J259" i="14"/>
  <c r="K259" i="14"/>
  <c r="O60" i="9"/>
  <c r="N240" i="14"/>
  <c r="N97" i="9"/>
  <c r="M727" i="14"/>
  <c r="I318" i="14"/>
  <c r="I652" i="14"/>
  <c r="J391" i="14"/>
  <c r="J392" i="14"/>
  <c r="Q523" i="14"/>
  <c r="Q525" i="14"/>
  <c r="R521" i="14"/>
  <c r="F298" i="14"/>
  <c r="F297" i="14"/>
  <c r="J284" i="14"/>
  <c r="J316" i="14"/>
  <c r="J325" i="14"/>
  <c r="J692" i="14"/>
  <c r="J694" i="14"/>
  <c r="N191" i="14"/>
  <c r="O168" i="14"/>
  <c r="O167" i="14"/>
  <c r="O171" i="14"/>
  <c r="O170" i="14"/>
  <c r="O212" i="14"/>
  <c r="G618" i="14"/>
  <c r="O237" i="14"/>
  <c r="P57" i="9"/>
  <c r="Q453" i="14"/>
  <c r="N234" i="14"/>
  <c r="O54" i="9"/>
  <c r="O55" i="9"/>
  <c r="N235" i="14"/>
  <c r="N256" i="14"/>
  <c r="N183" i="14"/>
  <c r="N185" i="14"/>
  <c r="O354" i="14"/>
  <c r="D679" i="14"/>
  <c r="M668" i="14"/>
  <c r="N77" i="9"/>
  <c r="L257" i="14"/>
  <c r="L273" i="14"/>
  <c r="L275" i="14"/>
  <c r="S433" i="14"/>
  <c r="R434" i="14"/>
  <c r="R440" i="14"/>
  <c r="R453" i="14"/>
  <c r="N378" i="14"/>
  <c r="T144" i="14"/>
  <c r="T146" i="14"/>
  <c r="U153" i="14"/>
  <c r="S146" i="14"/>
  <c r="P529" i="14"/>
  <c r="Q527" i="14"/>
  <c r="N472" i="14"/>
  <c r="M473" i="14"/>
  <c r="M479" i="14"/>
  <c r="N45" i="9"/>
  <c r="M216" i="14"/>
  <c r="D746" i="14"/>
  <c r="D767" i="14"/>
  <c r="H283" i="14"/>
  <c r="H315" i="14"/>
  <c r="L678" i="14"/>
  <c r="O377" i="14"/>
  <c r="O378" i="14"/>
  <c r="P373" i="14"/>
  <c r="O385" i="14"/>
  <c r="O389" i="14"/>
  <c r="N236" i="14"/>
  <c r="O56" i="9"/>
  <c r="M669" i="14"/>
  <c r="N78" i="9"/>
  <c r="N239" i="14"/>
  <c r="O59" i="9"/>
  <c r="AD444" i="14"/>
  <c r="AD445" i="14"/>
  <c r="AC445" i="14"/>
  <c r="AC451" i="14"/>
  <c r="P461" i="14"/>
  <c r="P559" i="14"/>
  <c r="Q555" i="14"/>
  <c r="D311" i="14"/>
  <c r="M289" i="14"/>
  <c r="M290" i="14"/>
  <c r="M292" i="14"/>
  <c r="N71" i="9"/>
  <c r="G632" i="14"/>
  <c r="E329" i="14"/>
  <c r="E643" i="14"/>
  <c r="E645" i="14"/>
  <c r="H259" i="14"/>
  <c r="N215" i="14"/>
  <c r="O44" i="9"/>
  <c r="N266" i="14"/>
  <c r="D706" i="14"/>
  <c r="D328" i="14"/>
  <c r="O270" i="14"/>
  <c r="G317" i="14"/>
  <c r="G318" i="14"/>
  <c r="Q157" i="14"/>
  <c r="Q159" i="14"/>
  <c r="Q178" i="14"/>
  <c r="Q158" i="14"/>
  <c r="Q156" i="14"/>
  <c r="Q166" i="14"/>
  <c r="Q350" i="14"/>
  <c r="Q354" i="14"/>
  <c r="Q566" i="14"/>
  <c r="Q572" i="14"/>
  <c r="Q465" i="14"/>
  <c r="Q583" i="14"/>
  <c r="Q585" i="14"/>
  <c r="Q587" i="14"/>
  <c r="Q570" i="14"/>
  <c r="E665" i="14"/>
  <c r="E679" i="14"/>
  <c r="E696" i="14"/>
  <c r="P614" i="14"/>
  <c r="G410" i="14"/>
  <c r="G411" i="14"/>
  <c r="G414" i="14"/>
  <c r="G416" i="14"/>
  <c r="G710" i="14"/>
  <c r="O551" i="14"/>
  <c r="P545" i="14"/>
  <c r="Z469" i="14"/>
  <c r="H594" i="14"/>
  <c r="L248" i="14"/>
  <c r="L269" i="14"/>
  <c r="L271" i="14"/>
  <c r="K324" i="14"/>
  <c r="K687" i="14"/>
  <c r="K689" i="14"/>
  <c r="AC437" i="14"/>
  <c r="AB438" i="14"/>
  <c r="F411" i="14"/>
  <c r="R153" i="14"/>
  <c r="R154" i="14"/>
  <c r="O81" i="9"/>
  <c r="N672" i="14"/>
  <c r="G687" i="14"/>
  <c r="H622" i="14"/>
  <c r="H619" i="14"/>
  <c r="M683" i="14"/>
  <c r="N87" i="9"/>
  <c r="M274" i="14"/>
  <c r="H636" i="14"/>
  <c r="H633" i="14"/>
  <c r="K284" i="14"/>
  <c r="K316" i="14"/>
  <c r="K325" i="14"/>
  <c r="K692" i="14"/>
  <c r="K694" i="14"/>
  <c r="E706" i="14"/>
  <c r="E328" i="14"/>
  <c r="R471" i="14"/>
  <c r="R519" i="14"/>
  <c r="S517" i="14"/>
  <c r="M269" i="21"/>
  <c r="M271" i="21"/>
  <c r="M248" i="21"/>
  <c r="M283" i="21"/>
  <c r="M315" i="21"/>
  <c r="M228" i="21"/>
  <c r="M265" i="21"/>
  <c r="M267" i="21"/>
  <c r="N238" i="21"/>
  <c r="N238" i="20"/>
  <c r="N245" i="20"/>
  <c r="N246" i="20"/>
  <c r="N238" i="14"/>
  <c r="O58" i="9"/>
  <c r="N289" i="21"/>
  <c r="N290" i="21"/>
  <c r="N292" i="21"/>
  <c r="N289" i="20"/>
  <c r="N290" i="20"/>
  <c r="N292" i="20"/>
  <c r="N302" i="20"/>
  <c r="O236" i="21"/>
  <c r="O236" i="20"/>
  <c r="N253" i="21"/>
  <c r="N253" i="20"/>
  <c r="N670" i="21"/>
  <c r="N670" i="20"/>
  <c r="O223" i="21"/>
  <c r="O224" i="21"/>
  <c r="O223" i="20"/>
  <c r="N218" i="21"/>
  <c r="N218" i="20"/>
  <c r="N727" i="21"/>
  <c r="N727" i="20"/>
  <c r="N243" i="21"/>
  <c r="N243" i="20"/>
  <c r="O233" i="21"/>
  <c r="O233" i="20"/>
  <c r="N254" i="21"/>
  <c r="N254" i="20"/>
  <c r="N254" i="14"/>
  <c r="O68" i="9"/>
  <c r="K318" i="21"/>
  <c r="K652" i="21"/>
  <c r="K325" i="21"/>
  <c r="K692" i="21"/>
  <c r="K694" i="21"/>
  <c r="I297" i="21"/>
  <c r="I298" i="21"/>
  <c r="I306" i="21"/>
  <c r="I321" i="21"/>
  <c r="I706" i="21"/>
  <c r="O693" i="21"/>
  <c r="O693" i="20"/>
  <c r="N726" i="21"/>
  <c r="N726" i="20"/>
  <c r="O240" i="21"/>
  <c r="O240" i="20"/>
  <c r="N102" i="9"/>
  <c r="N755" i="21"/>
  <c r="N755" i="20"/>
  <c r="M269" i="20"/>
  <c r="M271" i="20"/>
  <c r="M283" i="20"/>
  <c r="M315" i="20"/>
  <c r="M756" i="21"/>
  <c r="M756" i="20"/>
  <c r="O235" i="21"/>
  <c r="O235" i="20"/>
  <c r="K259" i="21"/>
  <c r="K263" i="21"/>
  <c r="N673" i="21"/>
  <c r="N673" i="20"/>
  <c r="O82" i="9"/>
  <c r="N673" i="14"/>
  <c r="N217" i="21"/>
  <c r="N216" i="21"/>
  <c r="N219" i="21"/>
  <c r="N220" i="21"/>
  <c r="N221" i="21"/>
  <c r="N226" i="21"/>
  <c r="N265" i="21"/>
  <c r="N267" i="21"/>
  <c r="N217" i="20"/>
  <c r="N216" i="20"/>
  <c r="N219" i="20"/>
  <c r="N220" i="20"/>
  <c r="N221" i="20"/>
  <c r="N226" i="20"/>
  <c r="O46" i="9"/>
  <c r="N217" i="14"/>
  <c r="O241" i="21"/>
  <c r="O241" i="20"/>
  <c r="O239" i="21"/>
  <c r="O239" i="20"/>
  <c r="N671" i="21"/>
  <c r="N671" i="20"/>
  <c r="O95" i="21"/>
  <c r="O95" i="20"/>
  <c r="L284" i="21"/>
  <c r="L316" i="21"/>
  <c r="L318" i="21"/>
  <c r="L652" i="21"/>
  <c r="L324" i="21"/>
  <c r="L687" i="21"/>
  <c r="L689" i="21"/>
  <c r="M255" i="20"/>
  <c r="O215" i="21"/>
  <c r="O215" i="20"/>
  <c r="O732" i="21"/>
  <c r="O732" i="20"/>
  <c r="K284" i="20"/>
  <c r="K316" i="20"/>
  <c r="M302" i="21"/>
  <c r="M303" i="21"/>
  <c r="M317" i="21"/>
  <c r="M326" i="21"/>
  <c r="M682" i="21"/>
  <c r="M684" i="21"/>
  <c r="N667" i="21"/>
  <c r="N667" i="20"/>
  <c r="P242" i="21"/>
  <c r="P242" i="20"/>
  <c r="N214" i="21"/>
  <c r="N214" i="20"/>
  <c r="N512" i="21"/>
  <c r="N605" i="21"/>
  <c r="N426" i="21"/>
  <c r="N332" i="21"/>
  <c r="N294" i="21"/>
  <c r="N764" i="21"/>
  <c r="N741" i="21"/>
  <c r="N463" i="21"/>
  <c r="N657" i="21"/>
  <c r="N596" i="21"/>
  <c r="N206" i="21"/>
  <c r="N187" i="21"/>
  <c r="N764" i="20"/>
  <c r="N741" i="20"/>
  <c r="N149" i="21"/>
  <c r="N596" i="20"/>
  <c r="N113" i="21"/>
  <c r="N512" i="20"/>
  <c r="N426" i="20"/>
  <c r="N332" i="20"/>
  <c r="N94" i="21"/>
  <c r="N294" i="20"/>
  <c r="N463" i="20"/>
  <c r="N657" i="20"/>
  <c r="N605" i="20"/>
  <c r="N113" i="20"/>
  <c r="N187" i="20"/>
  <c r="N149" i="20"/>
  <c r="N206" i="20"/>
  <c r="N94" i="20"/>
  <c r="K259" i="20"/>
  <c r="K263" i="20"/>
  <c r="M303" i="20"/>
  <c r="M317" i="20"/>
  <c r="M326" i="20"/>
  <c r="M682" i="20"/>
  <c r="M684" i="20"/>
  <c r="N675" i="21"/>
  <c r="N675" i="20"/>
  <c r="N675" i="14"/>
  <c r="O84" i="9"/>
  <c r="N245" i="21"/>
  <c r="N246" i="21"/>
  <c r="L325" i="21"/>
  <c r="L692" i="21"/>
  <c r="L694" i="21"/>
  <c r="M255" i="21"/>
  <c r="N683" i="21"/>
  <c r="N683" i="20"/>
  <c r="O234" i="21"/>
  <c r="O234" i="20"/>
  <c r="O672" i="21"/>
  <c r="O672" i="20"/>
  <c r="M219" i="14"/>
  <c r="M220" i="14"/>
  <c r="M221" i="14"/>
  <c r="M226" i="14"/>
  <c r="P237" i="21"/>
  <c r="P237" i="20"/>
  <c r="N669" i="21"/>
  <c r="N669" i="20"/>
  <c r="N668" i="21"/>
  <c r="N668" i="20"/>
  <c r="N678" i="20"/>
  <c r="N674" i="21"/>
  <c r="N674" i="20"/>
  <c r="M678" i="20"/>
  <c r="N688" i="21"/>
  <c r="N688" i="20"/>
  <c r="N688" i="14"/>
  <c r="O90" i="9"/>
  <c r="L259" i="21"/>
  <c r="L263" i="21"/>
  <c r="R676" i="21"/>
  <c r="R677" i="21"/>
  <c r="S100" i="21"/>
  <c r="R227" i="21"/>
  <c r="Q745" i="21"/>
  <c r="Q766" i="21"/>
  <c r="U103" i="21"/>
  <c r="T291" i="21"/>
  <c r="W101" i="21"/>
  <c r="V247" i="21"/>
  <c r="R738" i="21"/>
  <c r="R697" i="21"/>
  <c r="R320" i="21"/>
  <c r="S98" i="21"/>
  <c r="R642" i="21"/>
  <c r="R357" i="21"/>
  <c r="R359" i="21"/>
  <c r="R648" i="21"/>
  <c r="S270" i="21"/>
  <c r="T107" i="21"/>
  <c r="S274" i="21"/>
  <c r="T108" i="21"/>
  <c r="T266" i="21"/>
  <c r="U106" i="21"/>
  <c r="V102" i="21"/>
  <c r="U256" i="21"/>
  <c r="U102" i="20"/>
  <c r="T256" i="20"/>
  <c r="S291" i="20"/>
  <c r="T103" i="20"/>
  <c r="U227" i="20"/>
  <c r="V100" i="20"/>
  <c r="U676" i="20"/>
  <c r="U677" i="20"/>
  <c r="V101" i="20"/>
  <c r="U247" i="20"/>
  <c r="Q654" i="21"/>
  <c r="Q181" i="21"/>
  <c r="T551" i="21"/>
  <c r="U545" i="21"/>
  <c r="T177" i="21"/>
  <c r="S178" i="21"/>
  <c r="T461" i="21"/>
  <c r="AB444" i="21"/>
  <c r="AA445" i="21"/>
  <c r="AA451" i="21"/>
  <c r="Q541" i="21"/>
  <c r="R539" i="21"/>
  <c r="J323" i="21"/>
  <c r="H665" i="21"/>
  <c r="F767" i="21"/>
  <c r="F746" i="21"/>
  <c r="F651" i="21"/>
  <c r="F653" i="21"/>
  <c r="F655" i="21"/>
  <c r="U517" i="21"/>
  <c r="T519" i="21"/>
  <c r="K643" i="21"/>
  <c r="K329" i="21"/>
  <c r="K641" i="21"/>
  <c r="K645" i="21"/>
  <c r="L277" i="21"/>
  <c r="L280" i="21"/>
  <c r="L282" i="21"/>
  <c r="L313" i="21"/>
  <c r="L323" i="21"/>
  <c r="L663" i="21"/>
  <c r="L665" i="21"/>
  <c r="L679" i="21"/>
  <c r="L696" i="21"/>
  <c r="O408" i="21"/>
  <c r="S477" i="21"/>
  <c r="T475" i="21"/>
  <c r="C438" i="21"/>
  <c r="S165" i="21"/>
  <c r="P251" i="21"/>
  <c r="J392" i="21"/>
  <c r="U469" i="21"/>
  <c r="R482" i="21"/>
  <c r="Q484" i="21"/>
  <c r="R471" i="21"/>
  <c r="Q473" i="21"/>
  <c r="Q479" i="21"/>
  <c r="Q492" i="21"/>
  <c r="Q494" i="21"/>
  <c r="P654" i="21"/>
  <c r="P181" i="21"/>
  <c r="P172" i="21"/>
  <c r="P183" i="21"/>
  <c r="K388" i="21"/>
  <c r="K390" i="21"/>
  <c r="J297" i="21"/>
  <c r="J298" i="21"/>
  <c r="Q373" i="21"/>
  <c r="P377" i="21"/>
  <c r="P378" i="21"/>
  <c r="P385" i="21"/>
  <c r="P389" i="21"/>
  <c r="P404" i="21"/>
  <c r="P408" i="21"/>
  <c r="J708" i="21"/>
  <c r="J649" i="21"/>
  <c r="J646" i="21"/>
  <c r="P492" i="21"/>
  <c r="P494" i="21"/>
  <c r="P509" i="21"/>
  <c r="M622" i="21"/>
  <c r="M619" i="21"/>
  <c r="S540" i="21"/>
  <c r="T483" i="21"/>
  <c r="N622" i="21"/>
  <c r="N619" i="21"/>
  <c r="N624" i="21"/>
  <c r="H411" i="21"/>
  <c r="Q501" i="21"/>
  <c r="Q503" i="21"/>
  <c r="Q507" i="21"/>
  <c r="R498" i="21"/>
  <c r="H321" i="21"/>
  <c r="G310" i="21"/>
  <c r="P201" i="21"/>
  <c r="O204" i="21"/>
  <c r="O301" i="21"/>
  <c r="I410" i="21"/>
  <c r="J407" i="21"/>
  <c r="J409" i="21"/>
  <c r="I411" i="21"/>
  <c r="I414" i="21"/>
  <c r="I416" i="21"/>
  <c r="I710" i="21"/>
  <c r="G416" i="21"/>
  <c r="D709" i="21"/>
  <c r="D698" i="21"/>
  <c r="L643" i="21"/>
  <c r="L329" i="21"/>
  <c r="L641" i="21"/>
  <c r="L645" i="21"/>
  <c r="R529" i="21"/>
  <c r="R535" i="21"/>
  <c r="S527" i="21"/>
  <c r="T628" i="21"/>
  <c r="W614" i="21"/>
  <c r="U458" i="21"/>
  <c r="U460" i="21"/>
  <c r="O192" i="21"/>
  <c r="U555" i="21"/>
  <c r="T559" i="21"/>
  <c r="Q574" i="21"/>
  <c r="Q575" i="21"/>
  <c r="O510" i="21"/>
  <c r="W433" i="21"/>
  <c r="V434" i="21"/>
  <c r="V440" i="21"/>
  <c r="V453" i="21"/>
  <c r="I684" i="21"/>
  <c r="V533" i="21"/>
  <c r="W531" i="21"/>
  <c r="P231" i="21"/>
  <c r="Q212" i="21"/>
  <c r="P191" i="21"/>
  <c r="Q168" i="21"/>
  <c r="Q167" i="21"/>
  <c r="Q171" i="21"/>
  <c r="Q182" i="21"/>
  <c r="N636" i="21"/>
  <c r="N633" i="21"/>
  <c r="I664" i="21"/>
  <c r="I640" i="21"/>
  <c r="R287" i="21"/>
  <c r="Q200" i="21"/>
  <c r="R615" i="21"/>
  <c r="R617" i="21"/>
  <c r="R629" i="21"/>
  <c r="R631" i="21"/>
  <c r="S611" i="21"/>
  <c r="U521" i="21"/>
  <c r="T523" i="21"/>
  <c r="T525" i="21"/>
  <c r="F711" i="21"/>
  <c r="S107" i="20"/>
  <c r="R270" i="20"/>
  <c r="U108" i="20"/>
  <c r="T274" i="20"/>
  <c r="T106" i="20"/>
  <c r="S266" i="20"/>
  <c r="R766" i="20"/>
  <c r="R745" i="20"/>
  <c r="S697" i="20"/>
  <c r="T98" i="20"/>
  <c r="S642" i="20"/>
  <c r="S320" i="20"/>
  <c r="S738" i="20"/>
  <c r="S648" i="20"/>
  <c r="S357" i="20"/>
  <c r="S359" i="20"/>
  <c r="N248" i="20"/>
  <c r="N269" i="20"/>
  <c r="N271" i="20"/>
  <c r="P575" i="20"/>
  <c r="Q461" i="20"/>
  <c r="V555" i="20"/>
  <c r="U559" i="20"/>
  <c r="R177" i="20"/>
  <c r="Q178" i="20"/>
  <c r="S469" i="20"/>
  <c r="I684" i="20"/>
  <c r="I696" i="20"/>
  <c r="I407" i="20"/>
  <c r="I409" i="20"/>
  <c r="R541" i="20"/>
  <c r="S539" i="20"/>
  <c r="O224" i="20"/>
  <c r="R531" i="20"/>
  <c r="Q533" i="20"/>
  <c r="Q535" i="20"/>
  <c r="Q574" i="20"/>
  <c r="Q575" i="20"/>
  <c r="S471" i="20"/>
  <c r="R473" i="20"/>
  <c r="K624" i="20"/>
  <c r="L324" i="20"/>
  <c r="V519" i="20"/>
  <c r="W517" i="20"/>
  <c r="F710" i="20"/>
  <c r="L622" i="20"/>
  <c r="L619" i="20"/>
  <c r="H711" i="20"/>
  <c r="P287" i="20"/>
  <c r="O200" i="20"/>
  <c r="H310" i="20"/>
  <c r="I321" i="20"/>
  <c r="T614" i="20"/>
  <c r="S617" i="20"/>
  <c r="T629" i="20"/>
  <c r="T631" i="20"/>
  <c r="T615" i="20"/>
  <c r="U611" i="20"/>
  <c r="F708" i="20"/>
  <c r="F649" i="20"/>
  <c r="F646" i="20"/>
  <c r="J708" i="20"/>
  <c r="J649" i="20"/>
  <c r="J646" i="20"/>
  <c r="N192" i="20"/>
  <c r="F679" i="20"/>
  <c r="R484" i="20"/>
  <c r="S482" i="20"/>
  <c r="G767" i="20"/>
  <c r="G746" i="20"/>
  <c r="U501" i="20"/>
  <c r="U503" i="20"/>
  <c r="V498" i="20"/>
  <c r="L259" i="20"/>
  <c r="AD451" i="20"/>
  <c r="C451" i="20"/>
  <c r="C445" i="20"/>
  <c r="V628" i="20"/>
  <c r="P168" i="20"/>
  <c r="P212" i="20"/>
  <c r="P167" i="20"/>
  <c r="O191" i="20"/>
  <c r="J277" i="20"/>
  <c r="J280" i="20"/>
  <c r="J282" i="20"/>
  <c r="J313" i="20"/>
  <c r="S529" i="20"/>
  <c r="T527" i="20"/>
  <c r="J689" i="20"/>
  <c r="T483" i="20"/>
  <c r="S540" i="20"/>
  <c r="D709" i="20"/>
  <c r="D698" i="20"/>
  <c r="N185" i="20"/>
  <c r="V545" i="20"/>
  <c r="U551" i="20"/>
  <c r="R458" i="20"/>
  <c r="R460" i="20"/>
  <c r="N201" i="20"/>
  <c r="R165" i="20"/>
  <c r="M636" i="20"/>
  <c r="M633" i="20"/>
  <c r="M265" i="20"/>
  <c r="M267" i="20"/>
  <c r="M228" i="20"/>
  <c r="S434" i="20"/>
  <c r="S440" i="20"/>
  <c r="S453" i="20"/>
  <c r="Q377" i="20"/>
  <c r="Q378" i="20"/>
  <c r="R373" i="20"/>
  <c r="Q385" i="20"/>
  <c r="Q389" i="20"/>
  <c r="Q404" i="20"/>
  <c r="Q408" i="20"/>
  <c r="L636" i="20"/>
  <c r="L633" i="20"/>
  <c r="L388" i="20"/>
  <c r="L390" i="20"/>
  <c r="O251" i="20"/>
  <c r="L317" i="20"/>
  <c r="I643" i="20"/>
  <c r="I329" i="20"/>
  <c r="I641" i="20"/>
  <c r="I645" i="20"/>
  <c r="O231" i="20"/>
  <c r="G321" i="20"/>
  <c r="F310" i="20"/>
  <c r="G310" i="20"/>
  <c r="Q477" i="20"/>
  <c r="Q479" i="20"/>
  <c r="Q492" i="20"/>
  <c r="Q494" i="20"/>
  <c r="Q509" i="20"/>
  <c r="Q510" i="20"/>
  <c r="R475" i="20"/>
  <c r="G665" i="20"/>
  <c r="G679" i="20"/>
  <c r="G696" i="20"/>
  <c r="J694" i="20"/>
  <c r="S521" i="20"/>
  <c r="R523" i="20"/>
  <c r="R525" i="20"/>
  <c r="O171" i="20"/>
  <c r="O182" i="20"/>
  <c r="O185" i="20"/>
  <c r="M622" i="20"/>
  <c r="M619" i="20"/>
  <c r="P287" i="14"/>
  <c r="P356" i="14"/>
  <c r="K643" i="14"/>
  <c r="K641" i="14"/>
  <c r="K329" i="14"/>
  <c r="M492" i="14"/>
  <c r="M494" i="14"/>
  <c r="M509" i="14"/>
  <c r="H624" i="14"/>
  <c r="H664" i="14"/>
  <c r="M641" i="14"/>
  <c r="M643" i="14"/>
  <c r="R291" i="14"/>
  <c r="H638" i="14"/>
  <c r="T153" i="14"/>
  <c r="T154" i="14"/>
  <c r="T158" i="14"/>
  <c r="K646" i="14"/>
  <c r="K708" i="14"/>
  <c r="P227" i="14"/>
  <c r="P676" i="14"/>
  <c r="P677" i="14"/>
  <c r="J638" i="14"/>
  <c r="J640" i="14"/>
  <c r="J643" i="14"/>
  <c r="N745" i="14"/>
  <c r="N766" i="14"/>
  <c r="O357" i="14"/>
  <c r="O320" i="14"/>
  <c r="O648" i="14"/>
  <c r="O738" i="14"/>
  <c r="O642" i="14"/>
  <c r="O697" i="14"/>
  <c r="I638" i="14"/>
  <c r="I640" i="14"/>
  <c r="I329" i="14"/>
  <c r="P611" i="14"/>
  <c r="O629" i="14"/>
  <c r="O615" i="14"/>
  <c r="O617" i="14"/>
  <c r="O483" i="14"/>
  <c r="N484" i="14"/>
  <c r="N540" i="14"/>
  <c r="N541" i="14"/>
  <c r="N574" i="14"/>
  <c r="N575" i="14"/>
  <c r="E330" i="14"/>
  <c r="N631" i="14"/>
  <c r="O628" i="14"/>
  <c r="P531" i="14"/>
  <c r="O533" i="14"/>
  <c r="O535" i="14"/>
  <c r="M269" i="14"/>
  <c r="M271" i="14"/>
  <c r="M283" i="14"/>
  <c r="M315" i="14"/>
  <c r="K318" i="14"/>
  <c r="K652" i="14"/>
  <c r="N726" i="14"/>
  <c r="O96" i="9"/>
  <c r="N149" i="14"/>
  <c r="N741" i="14"/>
  <c r="N657" i="14"/>
  <c r="N764" i="14"/>
  <c r="N605" i="14"/>
  <c r="N94" i="14"/>
  <c r="N332" i="14"/>
  <c r="N512" i="14"/>
  <c r="N206" i="14"/>
  <c r="N426" i="14"/>
  <c r="N113" i="14"/>
  <c r="N463" i="14"/>
  <c r="N596" i="14"/>
  <c r="O36" i="9"/>
  <c r="N187" i="14"/>
  <c r="N294" i="14"/>
  <c r="O47" i="9"/>
  <c r="N218" i="14"/>
  <c r="P37" i="9"/>
  <c r="O95" i="14"/>
  <c r="L284" i="14"/>
  <c r="L316" i="14"/>
  <c r="L325" i="14"/>
  <c r="L692" i="14"/>
  <c r="L694" i="14"/>
  <c r="O83" i="9"/>
  <c r="N674" i="14"/>
  <c r="O101" i="9"/>
  <c r="N755" i="14"/>
  <c r="P49" i="9"/>
  <c r="O223" i="14"/>
  <c r="O224" i="14"/>
  <c r="P98" i="9"/>
  <c r="O732" i="14"/>
  <c r="P53" i="9"/>
  <c r="O233" i="14"/>
  <c r="N245" i="14"/>
  <c r="N246" i="14"/>
  <c r="N248" i="14"/>
  <c r="P200" i="14"/>
  <c r="P201" i="14"/>
  <c r="Q287" i="14"/>
  <c r="Q179" i="14"/>
  <c r="Q184" i="14"/>
  <c r="M228" i="14"/>
  <c r="M265" i="14"/>
  <c r="M267" i="14"/>
  <c r="Q167" i="14"/>
  <c r="Q171" i="14"/>
  <c r="P191" i="14"/>
  <c r="P192" i="14"/>
  <c r="Q168" i="14"/>
  <c r="Q172" i="14"/>
  <c r="Q170" i="14"/>
  <c r="Q212" i="14"/>
  <c r="O78" i="9"/>
  <c r="N669" i="14"/>
  <c r="R159" i="14"/>
  <c r="R178" i="14"/>
  <c r="R157" i="14"/>
  <c r="R156" i="14"/>
  <c r="R166" i="14"/>
  <c r="R158" i="14"/>
  <c r="R350" i="14"/>
  <c r="R354" i="14"/>
  <c r="R465" i="14"/>
  <c r="R583" i="14"/>
  <c r="R585" i="14"/>
  <c r="R587" i="14"/>
  <c r="R566" i="14"/>
  <c r="R572" i="14"/>
  <c r="R570" i="14"/>
  <c r="N216" i="14"/>
  <c r="N219" i="14"/>
  <c r="N220" i="14"/>
  <c r="N221" i="14"/>
  <c r="N226" i="14"/>
  <c r="O45" i="9"/>
  <c r="O43" i="9"/>
  <c r="N214" i="14"/>
  <c r="P251" i="14"/>
  <c r="N756" i="14"/>
  <c r="C144" i="14"/>
  <c r="O201" i="14"/>
  <c r="N201" i="14"/>
  <c r="K746" i="14"/>
  <c r="K767" i="14"/>
  <c r="AD437" i="14"/>
  <c r="AD438" i="14"/>
  <c r="AC438" i="14"/>
  <c r="Q614" i="14"/>
  <c r="Q591" i="14"/>
  <c r="Q593" i="14"/>
  <c r="Q594" i="14"/>
  <c r="N253" i="14"/>
  <c r="N255" i="14"/>
  <c r="O67" i="9"/>
  <c r="P231" i="14"/>
  <c r="I263" i="14"/>
  <c r="P81" i="9"/>
  <c r="O672" i="14"/>
  <c r="O401" i="14"/>
  <c r="O356" i="14"/>
  <c r="Q62" i="9"/>
  <c r="P242" i="14"/>
  <c r="P181" i="14"/>
  <c r="P654" i="14"/>
  <c r="O184" i="14"/>
  <c r="S471" i="14"/>
  <c r="G689" i="14"/>
  <c r="N274" i="14"/>
  <c r="F414" i="14"/>
  <c r="P404" i="14"/>
  <c r="P408" i="14"/>
  <c r="P419" i="14"/>
  <c r="P422" i="14"/>
  <c r="G636" i="14"/>
  <c r="G633" i="14"/>
  <c r="U154" i="14"/>
  <c r="O77" i="9"/>
  <c r="N668" i="14"/>
  <c r="P183" i="14"/>
  <c r="O256" i="14"/>
  <c r="S153" i="14"/>
  <c r="S154" i="14"/>
  <c r="K388" i="14"/>
  <c r="K390" i="14"/>
  <c r="N727" i="14"/>
  <c r="O97" i="9"/>
  <c r="AA482" i="14"/>
  <c r="H422" i="14"/>
  <c r="L638" i="14"/>
  <c r="L640" i="14"/>
  <c r="O236" i="14"/>
  <c r="P56" i="9"/>
  <c r="E709" i="14"/>
  <c r="E698" i="14"/>
  <c r="N289" i="14"/>
  <c r="N290" i="14"/>
  <c r="N292" i="14"/>
  <c r="N302" i="14"/>
  <c r="O71" i="9"/>
  <c r="AD451" i="14"/>
  <c r="C451" i="14"/>
  <c r="C445" i="14"/>
  <c r="M678" i="14"/>
  <c r="Q458" i="14"/>
  <c r="Q460" i="14"/>
  <c r="H408" i="14"/>
  <c r="O76" i="9"/>
  <c r="N667" i="14"/>
  <c r="L259" i="14"/>
  <c r="U580" i="14"/>
  <c r="T581" i="14"/>
  <c r="L283" i="14"/>
  <c r="L315" i="14"/>
  <c r="P270" i="14"/>
  <c r="O266" i="14"/>
  <c r="P59" i="9"/>
  <c r="O239" i="14"/>
  <c r="M510" i="14"/>
  <c r="M645" i="14"/>
  <c r="F663" i="14"/>
  <c r="M273" i="14"/>
  <c r="M275" i="14"/>
  <c r="M257" i="14"/>
  <c r="P237" i="14"/>
  <c r="Q57" i="9"/>
  <c r="D744" i="14"/>
  <c r="D765" i="14"/>
  <c r="O472" i="14"/>
  <c r="N473" i="14"/>
  <c r="N479" i="14"/>
  <c r="D696" i="14"/>
  <c r="O182" i="14"/>
  <c r="P60" i="9"/>
  <c r="O240" i="14"/>
  <c r="J263" i="14"/>
  <c r="P247" i="14"/>
  <c r="Q559" i="14"/>
  <c r="R555" i="14"/>
  <c r="N683" i="14"/>
  <c r="O87" i="9"/>
  <c r="AA469" i="14"/>
  <c r="O215" i="14"/>
  <c r="P44" i="9"/>
  <c r="E708" i="14"/>
  <c r="E649" i="14"/>
  <c r="M302" i="14"/>
  <c r="M303" i="14"/>
  <c r="P377" i="14"/>
  <c r="P378" i="14"/>
  <c r="Q373" i="14"/>
  <c r="P385" i="14"/>
  <c r="P389" i="14"/>
  <c r="R458" i="14"/>
  <c r="R460" i="14"/>
  <c r="D330" i="14"/>
  <c r="O251" i="14"/>
  <c r="G326" i="14"/>
  <c r="T433" i="14"/>
  <c r="S434" i="14"/>
  <c r="S440" i="14"/>
  <c r="P55" i="9"/>
  <c r="O235" i="14"/>
  <c r="G622" i="14"/>
  <c r="G619" i="14"/>
  <c r="O172" i="14"/>
  <c r="O501" i="14"/>
  <c r="O503" i="14"/>
  <c r="O507" i="14"/>
  <c r="P498" i="14"/>
  <c r="G692" i="14"/>
  <c r="F329" i="14"/>
  <c r="F641" i="14"/>
  <c r="F643" i="14"/>
  <c r="F645" i="14"/>
  <c r="O587" i="14"/>
  <c r="Q529" i="14"/>
  <c r="R527" i="14"/>
  <c r="R523" i="14"/>
  <c r="R525" i="14"/>
  <c r="S521" i="14"/>
  <c r="O80" i="9"/>
  <c r="N671" i="14"/>
  <c r="H407" i="14"/>
  <c r="G652" i="14"/>
  <c r="H318" i="14"/>
  <c r="H652" i="14"/>
  <c r="H324" i="14"/>
  <c r="O234" i="14"/>
  <c r="P54" i="9"/>
  <c r="O181" i="14"/>
  <c r="O654" i="14"/>
  <c r="Q475" i="14"/>
  <c r="P477" i="14"/>
  <c r="O693" i="14"/>
  <c r="P93" i="9"/>
  <c r="P171" i="14"/>
  <c r="P182" i="14"/>
  <c r="N670" i="14"/>
  <c r="O79" i="9"/>
  <c r="Q356" i="14"/>
  <c r="Q401" i="14"/>
  <c r="Q402" i="14"/>
  <c r="P539" i="14"/>
  <c r="O192" i="14"/>
  <c r="N192" i="14"/>
  <c r="S519" i="14"/>
  <c r="T517" i="14"/>
  <c r="Q545" i="14"/>
  <c r="P551" i="14"/>
  <c r="H263" i="14"/>
  <c r="J318" i="14"/>
  <c r="J652" i="14"/>
  <c r="O231" i="14"/>
  <c r="F306" i="14"/>
  <c r="K263" i="14"/>
  <c r="P61" i="9"/>
  <c r="O241" i="14"/>
  <c r="O63" i="9"/>
  <c r="N243" i="14"/>
  <c r="G321" i="14"/>
  <c r="O727" i="21"/>
  <c r="O727" i="20"/>
  <c r="P95" i="21"/>
  <c r="P95" i="20"/>
  <c r="H310" i="21"/>
  <c r="P672" i="21"/>
  <c r="P672" i="20"/>
  <c r="P732" i="21"/>
  <c r="P732" i="20"/>
  <c r="N302" i="21"/>
  <c r="N303" i="21"/>
  <c r="N317" i="21"/>
  <c r="N326" i="21"/>
  <c r="O238" i="21"/>
  <c r="O245" i="21"/>
  <c r="O246" i="21"/>
  <c r="O238" i="20"/>
  <c r="O245" i="20"/>
  <c r="O246" i="20"/>
  <c r="O238" i="14"/>
  <c r="P58" i="9"/>
  <c r="P233" i="21"/>
  <c r="P233" i="20"/>
  <c r="Q237" i="21"/>
  <c r="Q237" i="20"/>
  <c r="O289" i="21"/>
  <c r="O290" i="21"/>
  <c r="O292" i="21"/>
  <c r="O289" i="20"/>
  <c r="O290" i="20"/>
  <c r="O292" i="20"/>
  <c r="O302" i="20"/>
  <c r="P223" i="21"/>
  <c r="P224" i="21"/>
  <c r="P223" i="20"/>
  <c r="N678" i="21"/>
  <c r="O673" i="21"/>
  <c r="O673" i="20"/>
  <c r="O673" i="14"/>
  <c r="P82" i="9"/>
  <c r="O254" i="21"/>
  <c r="O254" i="20"/>
  <c r="P68" i="9"/>
  <c r="O254" i="14"/>
  <c r="P239" i="21"/>
  <c r="P239" i="20"/>
  <c r="O253" i="21"/>
  <c r="O253" i="20"/>
  <c r="I328" i="21"/>
  <c r="K325" i="20"/>
  <c r="K692" i="20"/>
  <c r="K694" i="20"/>
  <c r="K318" i="20"/>
  <c r="K652" i="20"/>
  <c r="N756" i="21"/>
  <c r="N756" i="20"/>
  <c r="O671" i="21"/>
  <c r="O671" i="20"/>
  <c r="P234" i="21"/>
  <c r="P234" i="20"/>
  <c r="O755" i="21"/>
  <c r="O755" i="20"/>
  <c r="O512" i="21"/>
  <c r="O605" i="21"/>
  <c r="O426" i="21"/>
  <c r="O332" i="21"/>
  <c r="O294" i="21"/>
  <c r="O764" i="21"/>
  <c r="O741" i="21"/>
  <c r="O463" i="21"/>
  <c r="O657" i="21"/>
  <c r="O741" i="20"/>
  <c r="O206" i="21"/>
  <c r="O113" i="21"/>
  <c r="O512" i="20"/>
  <c r="O596" i="21"/>
  <c r="O187" i="21"/>
  <c r="O149" i="21"/>
  <c r="O332" i="20"/>
  <c r="O94" i="21"/>
  <c r="O764" i="20"/>
  <c r="O596" i="20"/>
  <c r="O294" i="20"/>
  <c r="O463" i="20"/>
  <c r="O605" i="20"/>
  <c r="O113" i="20"/>
  <c r="O187" i="20"/>
  <c r="O149" i="20"/>
  <c r="O426" i="20"/>
  <c r="O657" i="20"/>
  <c r="O206" i="20"/>
  <c r="O94" i="20"/>
  <c r="M257" i="21"/>
  <c r="M273" i="21"/>
  <c r="M275" i="21"/>
  <c r="P235" i="21"/>
  <c r="P235" i="20"/>
  <c r="K277" i="21"/>
  <c r="K280" i="21"/>
  <c r="K282" i="21"/>
  <c r="K313" i="21"/>
  <c r="K323" i="21"/>
  <c r="K663" i="21"/>
  <c r="K665" i="21"/>
  <c r="K679" i="21"/>
  <c r="K696" i="21"/>
  <c r="O243" i="21"/>
  <c r="O243" i="20"/>
  <c r="P236" i="21"/>
  <c r="P236" i="20"/>
  <c r="O668" i="21"/>
  <c r="O668" i="20"/>
  <c r="O670" i="20"/>
  <c r="O678" i="20"/>
  <c r="O726" i="21"/>
  <c r="O726" i="20"/>
  <c r="O688" i="21"/>
  <c r="O688" i="20"/>
  <c r="P90" i="9"/>
  <c r="O688" i="14"/>
  <c r="N269" i="21"/>
  <c r="N271" i="21"/>
  <c r="N248" i="21"/>
  <c r="N283" i="21"/>
  <c r="N315" i="21"/>
  <c r="N324" i="21"/>
  <c r="N687" i="21"/>
  <c r="N689" i="21"/>
  <c r="O218" i="21"/>
  <c r="O218" i="20"/>
  <c r="P693" i="21"/>
  <c r="P693" i="20"/>
  <c r="P240" i="21"/>
  <c r="P240" i="20"/>
  <c r="O214" i="21"/>
  <c r="O214" i="20"/>
  <c r="N228" i="21"/>
  <c r="O675" i="21"/>
  <c r="O675" i="20"/>
  <c r="P84" i="9"/>
  <c r="O675" i="14"/>
  <c r="N255" i="20"/>
  <c r="P241" i="21"/>
  <c r="P241" i="20"/>
  <c r="O670" i="21"/>
  <c r="O667" i="21"/>
  <c r="O667" i="20"/>
  <c r="Q242" i="21"/>
  <c r="Q242" i="20"/>
  <c r="O216" i="21"/>
  <c r="O216" i="20"/>
  <c r="O674" i="20"/>
  <c r="O674" i="21"/>
  <c r="M273" i="20"/>
  <c r="M275" i="20"/>
  <c r="M257" i="20"/>
  <c r="M284" i="20"/>
  <c r="M316" i="20"/>
  <c r="M325" i="20"/>
  <c r="M692" i="20"/>
  <c r="N255" i="21"/>
  <c r="M324" i="21"/>
  <c r="M687" i="21"/>
  <c r="M689" i="21"/>
  <c r="O683" i="21"/>
  <c r="O683" i="20"/>
  <c r="P215" i="21"/>
  <c r="P215" i="20"/>
  <c r="O669" i="21"/>
  <c r="O669" i="20"/>
  <c r="O217" i="21"/>
  <c r="O219" i="21"/>
  <c r="O220" i="21"/>
  <c r="O221" i="21"/>
  <c r="O226" i="21"/>
  <c r="O217" i="20"/>
  <c r="O219" i="20"/>
  <c r="O220" i="20"/>
  <c r="O221" i="20"/>
  <c r="O226" i="20"/>
  <c r="P46" i="9"/>
  <c r="O217" i="14"/>
  <c r="T100" i="21"/>
  <c r="S227" i="21"/>
  <c r="S676" i="21"/>
  <c r="S677" i="21"/>
  <c r="U266" i="21"/>
  <c r="V106" i="21"/>
  <c r="S697" i="21"/>
  <c r="S320" i="21"/>
  <c r="T98" i="21"/>
  <c r="S642" i="21"/>
  <c r="S357" i="21"/>
  <c r="S359" i="21"/>
  <c r="S648" i="21"/>
  <c r="S738" i="21"/>
  <c r="T274" i="21"/>
  <c r="U108" i="21"/>
  <c r="X101" i="21"/>
  <c r="W247" i="21"/>
  <c r="T270" i="21"/>
  <c r="U107" i="21"/>
  <c r="V103" i="21"/>
  <c r="U291" i="21"/>
  <c r="W102" i="21"/>
  <c r="V256" i="21"/>
  <c r="R766" i="21"/>
  <c r="R745" i="21"/>
  <c r="W101" i="20"/>
  <c r="V247" i="20"/>
  <c r="V227" i="20"/>
  <c r="V676" i="20"/>
  <c r="V677" i="20"/>
  <c r="W100" i="20"/>
  <c r="T291" i="20"/>
  <c r="U103" i="20"/>
  <c r="U256" i="20"/>
  <c r="V102" i="20"/>
  <c r="T527" i="21"/>
  <c r="S529" i="21"/>
  <c r="S535" i="21"/>
  <c r="T540" i="21"/>
  <c r="U483" i="21"/>
  <c r="N682" i="21"/>
  <c r="R201" i="21"/>
  <c r="Q251" i="21"/>
  <c r="V555" i="21"/>
  <c r="U559" i="21"/>
  <c r="R574" i="21"/>
  <c r="R575" i="21"/>
  <c r="G710" i="21"/>
  <c r="H311" i="21"/>
  <c r="G311" i="21"/>
  <c r="J746" i="21"/>
  <c r="J767" i="21"/>
  <c r="N664" i="21"/>
  <c r="T477" i="21"/>
  <c r="U475" i="21"/>
  <c r="J663" i="21"/>
  <c r="D711" i="21"/>
  <c r="Q172" i="21"/>
  <c r="Q183" i="21"/>
  <c r="Q185" i="21"/>
  <c r="H706" i="21"/>
  <c r="H328" i="21"/>
  <c r="V517" i="21"/>
  <c r="U519" i="21"/>
  <c r="AC444" i="21"/>
  <c r="AB445" i="21"/>
  <c r="AB451" i="21"/>
  <c r="K709" i="21"/>
  <c r="K698" i="21"/>
  <c r="R541" i="21"/>
  <c r="S539" i="21"/>
  <c r="O296" i="21"/>
  <c r="O195" i="21"/>
  <c r="O618" i="21"/>
  <c r="Q201" i="21"/>
  <c r="V458" i="21"/>
  <c r="V460" i="21"/>
  <c r="L649" i="21"/>
  <c r="L708" i="21"/>
  <c r="L646" i="21"/>
  <c r="J410" i="21"/>
  <c r="J411" i="21"/>
  <c r="J414" i="21"/>
  <c r="J416" i="21"/>
  <c r="J710" i="21"/>
  <c r="R501" i="21"/>
  <c r="R503" i="21"/>
  <c r="R507" i="21"/>
  <c r="S498" i="21"/>
  <c r="P192" i="21"/>
  <c r="Q231" i="21"/>
  <c r="W434" i="21"/>
  <c r="W440" i="21"/>
  <c r="W453" i="21"/>
  <c r="X433" i="21"/>
  <c r="Q509" i="21"/>
  <c r="Q191" i="21"/>
  <c r="Q192" i="21"/>
  <c r="R212" i="21"/>
  <c r="R168" i="21"/>
  <c r="R172" i="21"/>
  <c r="R183" i="21"/>
  <c r="R167" i="21"/>
  <c r="L698" i="21"/>
  <c r="L709" i="21"/>
  <c r="P185" i="21"/>
  <c r="U523" i="21"/>
  <c r="U525" i="21"/>
  <c r="V521" i="21"/>
  <c r="I643" i="21"/>
  <c r="I329" i="21"/>
  <c r="I330" i="21"/>
  <c r="I641" i="21"/>
  <c r="I645" i="21"/>
  <c r="O632" i="21"/>
  <c r="M624" i="21"/>
  <c r="Q377" i="21"/>
  <c r="Q378" i="21"/>
  <c r="R373" i="21"/>
  <c r="Q385" i="21"/>
  <c r="Q389" i="21"/>
  <c r="Q404" i="21"/>
  <c r="Q408" i="21"/>
  <c r="S471" i="21"/>
  <c r="R473" i="21"/>
  <c r="R479" i="21"/>
  <c r="L297" i="21"/>
  <c r="L298" i="21"/>
  <c r="L306" i="21"/>
  <c r="S287" i="21"/>
  <c r="R200" i="21"/>
  <c r="S629" i="21"/>
  <c r="S631" i="21"/>
  <c r="T611" i="21"/>
  <c r="S615" i="21"/>
  <c r="S617" i="21"/>
  <c r="I665" i="21"/>
  <c r="I679" i="21"/>
  <c r="I696" i="21"/>
  <c r="X614" i="21"/>
  <c r="H414" i="21"/>
  <c r="J306" i="21"/>
  <c r="T165" i="21"/>
  <c r="U177" i="21"/>
  <c r="T178" i="21"/>
  <c r="V469" i="21"/>
  <c r="D651" i="21"/>
  <c r="P301" i="21"/>
  <c r="P204" i="21"/>
  <c r="P632" i="21"/>
  <c r="S482" i="21"/>
  <c r="R484" i="21"/>
  <c r="H679" i="21"/>
  <c r="S179" i="21"/>
  <c r="S184" i="21"/>
  <c r="W533" i="21"/>
  <c r="X531" i="21"/>
  <c r="N638" i="21"/>
  <c r="N640" i="21"/>
  <c r="U628" i="21"/>
  <c r="P510" i="21"/>
  <c r="K391" i="21"/>
  <c r="L388" i="21"/>
  <c r="L390" i="21"/>
  <c r="K392" i="21"/>
  <c r="K649" i="21"/>
  <c r="K708" i="21"/>
  <c r="K646" i="21"/>
  <c r="U551" i="21"/>
  <c r="V545" i="21"/>
  <c r="L624" i="20"/>
  <c r="S270" i="20"/>
  <c r="T107" i="20"/>
  <c r="U106" i="20"/>
  <c r="T266" i="20"/>
  <c r="N283" i="20"/>
  <c r="N315" i="20"/>
  <c r="H311" i="20"/>
  <c r="H744" i="20"/>
  <c r="U274" i="20"/>
  <c r="V108" i="20"/>
  <c r="S745" i="20"/>
  <c r="S766" i="20"/>
  <c r="U98" i="20"/>
  <c r="T642" i="20"/>
  <c r="T320" i="20"/>
  <c r="T738" i="20"/>
  <c r="T648" i="20"/>
  <c r="T697" i="20"/>
  <c r="T357" i="20"/>
  <c r="T359" i="20"/>
  <c r="O269" i="20"/>
  <c r="O271" i="20"/>
  <c r="O248" i="20"/>
  <c r="R461" i="20"/>
  <c r="M624" i="20"/>
  <c r="Q212" i="20"/>
  <c r="P191" i="20"/>
  <c r="Q167" i="20"/>
  <c r="Q171" i="20"/>
  <c r="Q182" i="20"/>
  <c r="Q168" i="20"/>
  <c r="Q172" i="20"/>
  <c r="Q183" i="20"/>
  <c r="Q287" i="20"/>
  <c r="P200" i="20"/>
  <c r="W628" i="20"/>
  <c r="L326" i="20"/>
  <c r="Q654" i="20"/>
  <c r="Q181" i="20"/>
  <c r="D651" i="20"/>
  <c r="J323" i="20"/>
  <c r="F696" i="20"/>
  <c r="W519" i="20"/>
  <c r="X517" i="20"/>
  <c r="R533" i="20"/>
  <c r="R535" i="20"/>
  <c r="R574" i="20"/>
  <c r="R575" i="20"/>
  <c r="S531" i="20"/>
  <c r="S177" i="20"/>
  <c r="R178" i="20"/>
  <c r="R179" i="20"/>
  <c r="R184" i="20"/>
  <c r="G311" i="20"/>
  <c r="F311" i="20"/>
  <c r="R377" i="20"/>
  <c r="R378" i="20"/>
  <c r="S373" i="20"/>
  <c r="R385" i="20"/>
  <c r="R389" i="20"/>
  <c r="R404" i="20"/>
  <c r="R408" i="20"/>
  <c r="J297" i="20"/>
  <c r="J298" i="20"/>
  <c r="O201" i="20"/>
  <c r="Q179" i="20"/>
  <c r="Q184" i="20"/>
  <c r="G706" i="20"/>
  <c r="G328" i="20"/>
  <c r="M324" i="20"/>
  <c r="M687" i="20"/>
  <c r="M689" i="20"/>
  <c r="S165" i="20"/>
  <c r="D711" i="20"/>
  <c r="L263" i="20"/>
  <c r="N296" i="20"/>
  <c r="N195" i="20"/>
  <c r="N618" i="20"/>
  <c r="K277" i="20"/>
  <c r="K280" i="20"/>
  <c r="K282" i="20"/>
  <c r="K313" i="20"/>
  <c r="K323" i="20"/>
  <c r="K663" i="20"/>
  <c r="T521" i="20"/>
  <c r="S523" i="20"/>
  <c r="S525" i="20"/>
  <c r="T434" i="20"/>
  <c r="T440" i="20"/>
  <c r="T453" i="20"/>
  <c r="N303" i="20"/>
  <c r="N317" i="20"/>
  <c r="N326" i="20"/>
  <c r="N682" i="20"/>
  <c r="N684" i="20"/>
  <c r="N301" i="20"/>
  <c r="N204" i="20"/>
  <c r="N632" i="20"/>
  <c r="O192" i="20"/>
  <c r="U629" i="20"/>
  <c r="U631" i="20"/>
  <c r="U615" i="20"/>
  <c r="V611" i="20"/>
  <c r="L318" i="20"/>
  <c r="L652" i="20"/>
  <c r="S541" i="20"/>
  <c r="T539" i="20"/>
  <c r="V559" i="20"/>
  <c r="W555" i="20"/>
  <c r="N265" i="20"/>
  <c r="N267" i="20"/>
  <c r="N228" i="20"/>
  <c r="S458" i="20"/>
  <c r="S460" i="20"/>
  <c r="P231" i="20"/>
  <c r="W498" i="20"/>
  <c r="V501" i="20"/>
  <c r="V503" i="20"/>
  <c r="L687" i="20"/>
  <c r="P171" i="20"/>
  <c r="P182" i="20"/>
  <c r="J767" i="20"/>
  <c r="J746" i="20"/>
  <c r="L664" i="20"/>
  <c r="I410" i="20"/>
  <c r="I411" i="20"/>
  <c r="I414" i="20"/>
  <c r="W545" i="20"/>
  <c r="V551" i="20"/>
  <c r="P654" i="20"/>
  <c r="P181" i="20"/>
  <c r="U483" i="20"/>
  <c r="T540" i="20"/>
  <c r="P224" i="20"/>
  <c r="I708" i="20"/>
  <c r="I649" i="20"/>
  <c r="I646" i="20"/>
  <c r="L391" i="20"/>
  <c r="L392" i="20"/>
  <c r="M259" i="20"/>
  <c r="P251" i="20"/>
  <c r="T617" i="20"/>
  <c r="U614" i="20"/>
  <c r="K664" i="20"/>
  <c r="K640" i="20"/>
  <c r="G709" i="20"/>
  <c r="G698" i="20"/>
  <c r="G651" i="20"/>
  <c r="G653" i="20"/>
  <c r="G655" i="20"/>
  <c r="P172" i="20"/>
  <c r="P183" i="20"/>
  <c r="I706" i="20"/>
  <c r="I328" i="20"/>
  <c r="I330" i="20"/>
  <c r="I698" i="20"/>
  <c r="I709" i="20"/>
  <c r="S475" i="20"/>
  <c r="R477" i="20"/>
  <c r="R479" i="20"/>
  <c r="R492" i="20"/>
  <c r="R494" i="20"/>
  <c r="R509" i="20"/>
  <c r="R510" i="20"/>
  <c r="L638" i="20"/>
  <c r="L640" i="20"/>
  <c r="M638" i="20"/>
  <c r="U527" i="20"/>
  <c r="T529" i="20"/>
  <c r="S484" i="20"/>
  <c r="T482" i="20"/>
  <c r="F746" i="20"/>
  <c r="F767" i="20"/>
  <c r="T471" i="20"/>
  <c r="S473" i="20"/>
  <c r="T469" i="20"/>
  <c r="H640" i="14"/>
  <c r="H643" i="14"/>
  <c r="N492" i="14"/>
  <c r="N494" i="14"/>
  <c r="N509" i="14"/>
  <c r="T570" i="14"/>
  <c r="T591" i="14"/>
  <c r="T350" i="14"/>
  <c r="T354" i="14"/>
  <c r="T356" i="14"/>
  <c r="I641" i="14"/>
  <c r="T465" i="14"/>
  <c r="T566" i="14"/>
  <c r="T583" i="14"/>
  <c r="T585" i="14"/>
  <c r="T587" i="14"/>
  <c r="T593" i="14"/>
  <c r="T594" i="14"/>
  <c r="T572" i="14"/>
  <c r="T157" i="14"/>
  <c r="T159" i="14"/>
  <c r="T178" i="14"/>
  <c r="S200" i="14"/>
  <c r="T156" i="14"/>
  <c r="T166" i="14"/>
  <c r="T170" i="14"/>
  <c r="I645" i="14"/>
  <c r="I708" i="14"/>
  <c r="I643" i="14"/>
  <c r="J645" i="14"/>
  <c r="J646" i="14"/>
  <c r="J641" i="14"/>
  <c r="J329" i="14"/>
  <c r="S291" i="14"/>
  <c r="Q182" i="14"/>
  <c r="Q676" i="14"/>
  <c r="Q677" i="14"/>
  <c r="Q227" i="14"/>
  <c r="C153" i="14"/>
  <c r="P533" i="14"/>
  <c r="P535" i="14"/>
  <c r="Q531" i="14"/>
  <c r="P629" i="14"/>
  <c r="Q611" i="14"/>
  <c r="P615" i="14"/>
  <c r="P617" i="14"/>
  <c r="O631" i="14"/>
  <c r="P628" i="14"/>
  <c r="P642" i="14"/>
  <c r="P697" i="14"/>
  <c r="P357" i="14"/>
  <c r="P359" i="14"/>
  <c r="P738" i="14"/>
  <c r="P648" i="14"/>
  <c r="P320" i="14"/>
  <c r="O484" i="14"/>
  <c r="O540" i="14"/>
  <c r="O541" i="14"/>
  <c r="O574" i="14"/>
  <c r="O575" i="14"/>
  <c r="P483" i="14"/>
  <c r="N269" i="14"/>
  <c r="N271" i="14"/>
  <c r="N283" i="14"/>
  <c r="N315" i="14"/>
  <c r="P96" i="9"/>
  <c r="O726" i="14"/>
  <c r="O426" i="14"/>
  <c r="O463" i="14"/>
  <c r="P36" i="9"/>
  <c r="O149" i="14"/>
  <c r="O764" i="14"/>
  <c r="O512" i="14"/>
  <c r="O605" i="14"/>
  <c r="O94" i="14"/>
  <c r="O657" i="14"/>
  <c r="O332" i="14"/>
  <c r="O741" i="14"/>
  <c r="O206" i="14"/>
  <c r="O187" i="14"/>
  <c r="O596" i="14"/>
  <c r="O113" i="14"/>
  <c r="O294" i="14"/>
  <c r="O218" i="14"/>
  <c r="P47" i="9"/>
  <c r="O245" i="14"/>
  <c r="O246" i="14"/>
  <c r="O248" i="14"/>
  <c r="Q49" i="9"/>
  <c r="P223" i="14"/>
  <c r="P224" i="14"/>
  <c r="P101" i="9"/>
  <c r="O755" i="14"/>
  <c r="O674" i="14"/>
  <c r="P83" i="9"/>
  <c r="P732" i="14"/>
  <c r="Q98" i="9"/>
  <c r="P95" i="14"/>
  <c r="Q37" i="9"/>
  <c r="O102" i="9"/>
  <c r="Q53" i="9"/>
  <c r="P233" i="14"/>
  <c r="Q200" i="14"/>
  <c r="Q201" i="14"/>
  <c r="R287" i="14"/>
  <c r="R179" i="14"/>
  <c r="R461" i="14"/>
  <c r="Q191" i="14"/>
  <c r="Q192" i="14"/>
  <c r="R167" i="14"/>
  <c r="R171" i="14"/>
  <c r="R168" i="14"/>
  <c r="R172" i="14"/>
  <c r="R170" i="14"/>
  <c r="R212" i="14"/>
  <c r="K277" i="14"/>
  <c r="K280" i="14"/>
  <c r="K282" i="14"/>
  <c r="K313" i="14"/>
  <c r="K323" i="14"/>
  <c r="K663" i="14"/>
  <c r="K665" i="14"/>
  <c r="K679" i="14"/>
  <c r="K696" i="14"/>
  <c r="S523" i="14"/>
  <c r="S525" i="14"/>
  <c r="T521" i="14"/>
  <c r="G624" i="14"/>
  <c r="P215" i="14"/>
  <c r="Q44" i="9"/>
  <c r="R559" i="14"/>
  <c r="S555" i="14"/>
  <c r="G638" i="14"/>
  <c r="T471" i="14"/>
  <c r="O253" i="14"/>
  <c r="O255" i="14"/>
  <c r="P67" i="9"/>
  <c r="R614" i="14"/>
  <c r="P43" i="9"/>
  <c r="O214" i="14"/>
  <c r="O183" i="14"/>
  <c r="O185" i="14"/>
  <c r="G682" i="14"/>
  <c r="P63" i="9"/>
  <c r="O243" i="14"/>
  <c r="E310" i="14"/>
  <c r="F321" i="14"/>
  <c r="L329" i="14"/>
  <c r="L643" i="14"/>
  <c r="L641" i="14"/>
  <c r="L645" i="14"/>
  <c r="O727" i="14"/>
  <c r="P97" i="9"/>
  <c r="O359" i="14"/>
  <c r="Q181" i="14"/>
  <c r="Q654" i="14"/>
  <c r="T168" i="14"/>
  <c r="T172" i="14"/>
  <c r="Q477" i="14"/>
  <c r="R475" i="14"/>
  <c r="R529" i="14"/>
  <c r="S527" i="14"/>
  <c r="G694" i="14"/>
  <c r="M284" i="14"/>
  <c r="M316" i="14"/>
  <c r="O289" i="14"/>
  <c r="O290" i="14"/>
  <c r="O292" i="14"/>
  <c r="O302" i="14"/>
  <c r="P71" i="9"/>
  <c r="N678" i="14"/>
  <c r="O402" i="14"/>
  <c r="C154" i="14"/>
  <c r="M259" i="14"/>
  <c r="P256" i="14"/>
  <c r="Q183" i="14"/>
  <c r="T519" i="14"/>
  <c r="U517" i="14"/>
  <c r="M317" i="14"/>
  <c r="P236" i="14"/>
  <c r="Q56" i="9"/>
  <c r="K391" i="14"/>
  <c r="K392" i="14"/>
  <c r="O668" i="14"/>
  <c r="P77" i="9"/>
  <c r="N257" i="14"/>
  <c r="N273" i="14"/>
  <c r="N275" i="14"/>
  <c r="O216" i="14"/>
  <c r="P45" i="9"/>
  <c r="Q251" i="14"/>
  <c r="O195" i="14"/>
  <c r="O618" i="14"/>
  <c r="O296" i="14"/>
  <c r="J277" i="14"/>
  <c r="J280" i="14"/>
  <c r="J282" i="14"/>
  <c r="J313" i="14"/>
  <c r="J323" i="14"/>
  <c r="J663" i="14"/>
  <c r="J665" i="14"/>
  <c r="J679" i="14"/>
  <c r="J696" i="14"/>
  <c r="Q237" i="14"/>
  <c r="R57" i="9"/>
  <c r="M708" i="14"/>
  <c r="M649" i="14"/>
  <c r="M646" i="14"/>
  <c r="P266" i="14"/>
  <c r="P195" i="14"/>
  <c r="P618" i="14"/>
  <c r="P622" i="14"/>
  <c r="P296" i="14"/>
  <c r="F416" i="14"/>
  <c r="Q461" i="14"/>
  <c r="P693" i="14"/>
  <c r="Q93" i="9"/>
  <c r="D709" i="14"/>
  <c r="D698" i="14"/>
  <c r="F665" i="14"/>
  <c r="Q270" i="14"/>
  <c r="L263" i="14"/>
  <c r="U156" i="14"/>
  <c r="U166" i="14"/>
  <c r="U159" i="14"/>
  <c r="U178" i="14"/>
  <c r="U350" i="14"/>
  <c r="U391" i="14"/>
  <c r="U392" i="14"/>
  <c r="U410" i="14"/>
  <c r="U411" i="14"/>
  <c r="U591" i="14"/>
  <c r="U465" i="14"/>
  <c r="U574" i="14"/>
  <c r="U583" i="14"/>
  <c r="U585" i="14"/>
  <c r="U641" i="14"/>
  <c r="U646" i="14"/>
  <c r="U510" i="14"/>
  <c r="U566" i="14"/>
  <c r="U570" i="14"/>
  <c r="U575" i="14"/>
  <c r="U158" i="14"/>
  <c r="U157" i="14"/>
  <c r="U594" i="14"/>
  <c r="U572" i="14"/>
  <c r="P185" i="14"/>
  <c r="Q81" i="9"/>
  <c r="P672" i="14"/>
  <c r="C438" i="14"/>
  <c r="Q231" i="14"/>
  <c r="V580" i="14"/>
  <c r="U581" i="14"/>
  <c r="F310" i="14"/>
  <c r="R545" i="14"/>
  <c r="Q551" i="14"/>
  <c r="O670" i="14"/>
  <c r="P79" i="9"/>
  <c r="H687" i="14"/>
  <c r="Q55" i="9"/>
  <c r="P235" i="14"/>
  <c r="N265" i="14"/>
  <c r="N267" i="14"/>
  <c r="N228" i="14"/>
  <c r="E746" i="14"/>
  <c r="E767" i="14"/>
  <c r="E651" i="14"/>
  <c r="E653" i="14"/>
  <c r="AB469" i="14"/>
  <c r="H329" i="14"/>
  <c r="H641" i="14"/>
  <c r="H645" i="14"/>
  <c r="Q247" i="14"/>
  <c r="R401" i="14"/>
  <c r="R402" i="14"/>
  <c r="R356" i="14"/>
  <c r="G706" i="14"/>
  <c r="G328" i="14"/>
  <c r="H277" i="14"/>
  <c r="H280" i="14"/>
  <c r="H282" i="14"/>
  <c r="H313" i="14"/>
  <c r="Q539" i="14"/>
  <c r="Q404" i="14"/>
  <c r="Q408" i="14"/>
  <c r="Q419" i="14"/>
  <c r="Q422" i="14"/>
  <c r="P234" i="14"/>
  <c r="Q54" i="9"/>
  <c r="H409" i="14"/>
  <c r="Q60" i="9"/>
  <c r="P240" i="14"/>
  <c r="S156" i="14"/>
  <c r="S166" i="14"/>
  <c r="S158" i="14"/>
  <c r="S157" i="14"/>
  <c r="S159" i="14"/>
  <c r="S178" i="14"/>
  <c r="S350" i="14"/>
  <c r="S354" i="14"/>
  <c r="S465" i="14"/>
  <c r="S566" i="14"/>
  <c r="S591" i="14"/>
  <c r="S572" i="14"/>
  <c r="S583" i="14"/>
  <c r="S570" i="14"/>
  <c r="O274" i="14"/>
  <c r="R62" i="9"/>
  <c r="Q242" i="14"/>
  <c r="I277" i="14"/>
  <c r="I280" i="14"/>
  <c r="I282" i="14"/>
  <c r="I313" i="14"/>
  <c r="I323" i="14"/>
  <c r="I663" i="14"/>
  <c r="I665" i="14"/>
  <c r="I679" i="14"/>
  <c r="I696" i="14"/>
  <c r="N303" i="14"/>
  <c r="N317" i="14"/>
  <c r="N326" i="14"/>
  <c r="N682" i="14"/>
  <c r="N684" i="14"/>
  <c r="N204" i="14"/>
  <c r="N301" i="14"/>
  <c r="P78" i="9"/>
  <c r="O669" i="14"/>
  <c r="R373" i="14"/>
  <c r="Q385" i="14"/>
  <c r="Q389" i="14"/>
  <c r="Q377" i="14"/>
  <c r="Q378" i="14"/>
  <c r="O593" i="14"/>
  <c r="O594" i="14"/>
  <c r="Q498" i="14"/>
  <c r="P501" i="14"/>
  <c r="P503" i="14"/>
  <c r="P507" i="14"/>
  <c r="S453" i="14"/>
  <c r="N510" i="14"/>
  <c r="P204" i="14"/>
  <c r="P632" i="14"/>
  <c r="P636" i="14"/>
  <c r="P301" i="14"/>
  <c r="E711" i="14"/>
  <c r="O204" i="14"/>
  <c r="O632" i="14"/>
  <c r="O301" i="14"/>
  <c r="Q61" i="9"/>
  <c r="P241" i="14"/>
  <c r="N195" i="14"/>
  <c r="N296" i="14"/>
  <c r="P80" i="9"/>
  <c r="O671" i="14"/>
  <c r="L318" i="14"/>
  <c r="L652" i="14"/>
  <c r="L324" i="14"/>
  <c r="L687" i="14"/>
  <c r="L689" i="14"/>
  <c r="F649" i="14"/>
  <c r="F708" i="14"/>
  <c r="F646" i="14"/>
  <c r="U433" i="14"/>
  <c r="T434" i="14"/>
  <c r="T440" i="14"/>
  <c r="T453" i="14"/>
  <c r="O683" i="14"/>
  <c r="P87" i="9"/>
  <c r="M324" i="14"/>
  <c r="M687" i="14"/>
  <c r="M689" i="14"/>
  <c r="P472" i="14"/>
  <c r="O473" i="14"/>
  <c r="O479" i="14"/>
  <c r="Q59" i="9"/>
  <c r="P239" i="14"/>
  <c r="P76" i="9"/>
  <c r="O667" i="14"/>
  <c r="AB482" i="14"/>
  <c r="T401" i="14"/>
  <c r="T402" i="14"/>
  <c r="R591" i="14"/>
  <c r="R593" i="14"/>
  <c r="R594" i="14"/>
  <c r="O269" i="21"/>
  <c r="O271" i="21"/>
  <c r="O248" i="21"/>
  <c r="O265" i="20"/>
  <c r="O267" i="20"/>
  <c r="O228" i="20"/>
  <c r="O265" i="21"/>
  <c r="O267" i="21"/>
  <c r="O228" i="21"/>
  <c r="Q95" i="21"/>
  <c r="Q95" i="20"/>
  <c r="P218" i="21"/>
  <c r="P218" i="20"/>
  <c r="P217" i="21"/>
  <c r="P217" i="20"/>
  <c r="P216" i="20"/>
  <c r="P219" i="20"/>
  <c r="P220" i="20"/>
  <c r="P221" i="20"/>
  <c r="P226" i="20"/>
  <c r="P217" i="14"/>
  <c r="Q46" i="9"/>
  <c r="N257" i="21"/>
  <c r="N273" i="21"/>
  <c r="N275" i="21"/>
  <c r="Q240" i="21"/>
  <c r="Q240" i="20"/>
  <c r="O219" i="14"/>
  <c r="O220" i="14"/>
  <c r="O221" i="14"/>
  <c r="O226" i="14"/>
  <c r="P669" i="21"/>
  <c r="P669" i="20"/>
  <c r="P238" i="21"/>
  <c r="P245" i="21"/>
  <c r="P246" i="21"/>
  <c r="O302" i="21"/>
  <c r="O303" i="21"/>
  <c r="O317" i="21"/>
  <c r="N257" i="20"/>
  <c r="N273" i="20"/>
  <c r="N275" i="20"/>
  <c r="N284" i="20"/>
  <c r="N316" i="20"/>
  <c r="N325" i="20"/>
  <c r="N692" i="20"/>
  <c r="N694" i="20"/>
  <c r="R237" i="21"/>
  <c r="R237" i="20"/>
  <c r="P243" i="21"/>
  <c r="P243" i="20"/>
  <c r="Q215" i="21"/>
  <c r="Q215" i="20"/>
  <c r="O678" i="21"/>
  <c r="Q235" i="21"/>
  <c r="Q235" i="20"/>
  <c r="P254" i="21"/>
  <c r="P254" i="20"/>
  <c r="P254" i="14"/>
  <c r="Q68" i="9"/>
  <c r="P289" i="21"/>
  <c r="P290" i="21"/>
  <c r="P292" i="21"/>
  <c r="P289" i="20"/>
  <c r="P290" i="20"/>
  <c r="P292" i="20"/>
  <c r="P302" i="20"/>
  <c r="P674" i="20"/>
  <c r="P674" i="21"/>
  <c r="P675" i="21"/>
  <c r="P675" i="20"/>
  <c r="P675" i="14"/>
  <c r="Q84" i="9"/>
  <c r="P673" i="21"/>
  <c r="P673" i="20"/>
  <c r="P673" i="14"/>
  <c r="Q82" i="9"/>
  <c r="Q234" i="21"/>
  <c r="Q234" i="20"/>
  <c r="P668" i="21"/>
  <c r="P668" i="20"/>
  <c r="P216" i="21"/>
  <c r="P219" i="21"/>
  <c r="P220" i="21"/>
  <c r="P221" i="21"/>
  <c r="P226" i="21"/>
  <c r="P228" i="21"/>
  <c r="P238" i="20"/>
  <c r="P245" i="20"/>
  <c r="P246" i="20"/>
  <c r="P238" i="14"/>
  <c r="Q58" i="9"/>
  <c r="P605" i="21"/>
  <c r="P426" i="21"/>
  <c r="P332" i="21"/>
  <c r="P294" i="21"/>
  <c r="P764" i="21"/>
  <c r="P741" i="21"/>
  <c r="P463" i="21"/>
  <c r="P596" i="21"/>
  <c r="P512" i="21"/>
  <c r="P657" i="20"/>
  <c r="P206" i="21"/>
  <c r="P187" i="21"/>
  <c r="P657" i="21"/>
  <c r="P149" i="21"/>
  <c r="P596" i="20"/>
  <c r="P332" i="20"/>
  <c r="P94" i="21"/>
  <c r="P764" i="20"/>
  <c r="P294" i="20"/>
  <c r="P512" i="20"/>
  <c r="P741" i="20"/>
  <c r="P113" i="21"/>
  <c r="P463" i="20"/>
  <c r="P605" i="20"/>
  <c r="P187" i="20"/>
  <c r="P149" i="20"/>
  <c r="P426" i="20"/>
  <c r="P206" i="20"/>
  <c r="P113" i="20"/>
  <c r="P94" i="20"/>
  <c r="P726" i="21"/>
  <c r="P726" i="20"/>
  <c r="Q693" i="21"/>
  <c r="Q693" i="20"/>
  <c r="P727" i="21"/>
  <c r="P727" i="20"/>
  <c r="P683" i="21"/>
  <c r="P683" i="20"/>
  <c r="R242" i="21"/>
  <c r="R242" i="20"/>
  <c r="P214" i="21"/>
  <c r="P214" i="20"/>
  <c r="P755" i="21"/>
  <c r="P755" i="20"/>
  <c r="P667" i="21"/>
  <c r="P667" i="20"/>
  <c r="Q672" i="21"/>
  <c r="Q672" i="20"/>
  <c r="Q233" i="21"/>
  <c r="Q233" i="20"/>
  <c r="P688" i="21"/>
  <c r="P688" i="20"/>
  <c r="Q90" i="9"/>
  <c r="P688" i="14"/>
  <c r="O255" i="20"/>
  <c r="M284" i="21"/>
  <c r="M316" i="21"/>
  <c r="M259" i="21"/>
  <c r="M263" i="21"/>
  <c r="Q732" i="21"/>
  <c r="Q732" i="20"/>
  <c r="Q239" i="21"/>
  <c r="Q239" i="20"/>
  <c r="P671" i="21"/>
  <c r="P671" i="20"/>
  <c r="P670" i="21"/>
  <c r="P670" i="20"/>
  <c r="Q236" i="21"/>
  <c r="Q236" i="20"/>
  <c r="Q241" i="21"/>
  <c r="Q241" i="20"/>
  <c r="P253" i="21"/>
  <c r="P253" i="20"/>
  <c r="O756" i="14"/>
  <c r="O756" i="21"/>
  <c r="O756" i="20"/>
  <c r="Q223" i="21"/>
  <c r="Q224" i="21"/>
  <c r="Q223" i="20"/>
  <c r="Q224" i="20"/>
  <c r="M318" i="20"/>
  <c r="M652" i="20"/>
  <c r="K298" i="21"/>
  <c r="K306" i="21"/>
  <c r="K297" i="21"/>
  <c r="O255" i="21"/>
  <c r="T227" i="21"/>
  <c r="T676" i="21"/>
  <c r="T677" i="21"/>
  <c r="U100" i="21"/>
  <c r="V291" i="21"/>
  <c r="W103" i="21"/>
  <c r="S766" i="21"/>
  <c r="S745" i="21"/>
  <c r="W256" i="21"/>
  <c r="X102" i="21"/>
  <c r="U270" i="21"/>
  <c r="V107" i="21"/>
  <c r="T697" i="21"/>
  <c r="T320" i="21"/>
  <c r="U98" i="21"/>
  <c r="T642" i="21"/>
  <c r="T357" i="21"/>
  <c r="T359" i="21"/>
  <c r="T648" i="21"/>
  <c r="T738" i="21"/>
  <c r="X247" i="21"/>
  <c r="Y101" i="21"/>
  <c r="U274" i="21"/>
  <c r="V108" i="21"/>
  <c r="V266" i="21"/>
  <c r="W106" i="21"/>
  <c r="V256" i="20"/>
  <c r="W102" i="20"/>
  <c r="U291" i="20"/>
  <c r="V103" i="20"/>
  <c r="W676" i="20"/>
  <c r="W677" i="20"/>
  <c r="X100" i="20"/>
  <c r="W227" i="20"/>
  <c r="X101" i="20"/>
  <c r="W247" i="20"/>
  <c r="N643" i="21"/>
  <c r="N329" i="21"/>
  <c r="N641" i="21"/>
  <c r="N645" i="21"/>
  <c r="Q296" i="21"/>
  <c r="Q195" i="21"/>
  <c r="Q618" i="21"/>
  <c r="O326" i="21"/>
  <c r="Q301" i="21"/>
  <c r="Q204" i="21"/>
  <c r="Q632" i="21"/>
  <c r="M277" i="21"/>
  <c r="M280" i="21"/>
  <c r="M282" i="21"/>
  <c r="M313" i="21"/>
  <c r="M323" i="21"/>
  <c r="R301" i="21"/>
  <c r="R204" i="21"/>
  <c r="R632" i="21"/>
  <c r="W469" i="21"/>
  <c r="T287" i="21"/>
  <c r="S200" i="21"/>
  <c r="S201" i="21"/>
  <c r="W458" i="21"/>
  <c r="W460" i="21"/>
  <c r="T482" i="21"/>
  <c r="S484" i="21"/>
  <c r="T179" i="21"/>
  <c r="T184" i="21"/>
  <c r="Y614" i="21"/>
  <c r="R654" i="21"/>
  <c r="R181" i="21"/>
  <c r="O622" i="21"/>
  <c r="O619" i="21"/>
  <c r="D719" i="21"/>
  <c r="L321" i="21"/>
  <c r="W545" i="21"/>
  <c r="V551" i="21"/>
  <c r="V177" i="21"/>
  <c r="U178" i="21"/>
  <c r="R492" i="21"/>
  <c r="R494" i="21"/>
  <c r="R509" i="21"/>
  <c r="I649" i="21"/>
  <c r="I708" i="21"/>
  <c r="I646" i="21"/>
  <c r="R231" i="21"/>
  <c r="G744" i="21"/>
  <c r="G765" i="21"/>
  <c r="N684" i="21"/>
  <c r="H696" i="21"/>
  <c r="V628" i="21"/>
  <c r="O636" i="21"/>
  <c r="O633" i="21"/>
  <c r="S167" i="21"/>
  <c r="R191" i="21"/>
  <c r="S212" i="21"/>
  <c r="S168" i="21"/>
  <c r="S172" i="21"/>
  <c r="S183" i="21"/>
  <c r="T471" i="21"/>
  <c r="S473" i="21"/>
  <c r="S479" i="21"/>
  <c r="S492" i="21"/>
  <c r="S494" i="21"/>
  <c r="S509" i="21"/>
  <c r="R251" i="21"/>
  <c r="AD444" i="21"/>
  <c r="AD445" i="21"/>
  <c r="AC445" i="21"/>
  <c r="AC451" i="21"/>
  <c r="H744" i="21"/>
  <c r="H765" i="21"/>
  <c r="U540" i="21"/>
  <c r="V483" i="21"/>
  <c r="L746" i="21"/>
  <c r="L767" i="21"/>
  <c r="L651" i="21"/>
  <c r="L653" i="21"/>
  <c r="L655" i="21"/>
  <c r="P636" i="21"/>
  <c r="P633" i="21"/>
  <c r="P638" i="21"/>
  <c r="U165" i="21"/>
  <c r="I709" i="21"/>
  <c r="I698" i="21"/>
  <c r="P296" i="21"/>
  <c r="P195" i="21"/>
  <c r="P618" i="21"/>
  <c r="S654" i="21"/>
  <c r="S181" i="21"/>
  <c r="S501" i="21"/>
  <c r="S503" i="21"/>
  <c r="S507" i="21"/>
  <c r="T498" i="21"/>
  <c r="W517" i="21"/>
  <c r="V519" i="21"/>
  <c r="J665" i="21"/>
  <c r="J679" i="21"/>
  <c r="J696" i="21"/>
  <c r="G711" i="21"/>
  <c r="S574" i="21"/>
  <c r="S575" i="21"/>
  <c r="X533" i="21"/>
  <c r="Y531" i="21"/>
  <c r="T629" i="21"/>
  <c r="T631" i="21"/>
  <c r="T615" i="21"/>
  <c r="T617" i="21"/>
  <c r="U611" i="21"/>
  <c r="S373" i="21"/>
  <c r="R377" i="21"/>
  <c r="R378" i="21"/>
  <c r="R385" i="21"/>
  <c r="R389" i="21"/>
  <c r="R404" i="21"/>
  <c r="R408" i="21"/>
  <c r="V523" i="21"/>
  <c r="V525" i="21"/>
  <c r="W521" i="21"/>
  <c r="R192" i="21"/>
  <c r="U477" i="21"/>
  <c r="V475" i="21"/>
  <c r="T529" i="21"/>
  <c r="T535" i="21"/>
  <c r="U527" i="21"/>
  <c r="K746" i="21"/>
  <c r="K767" i="21"/>
  <c r="K651" i="21"/>
  <c r="K653" i="21"/>
  <c r="K655" i="21"/>
  <c r="D653" i="21"/>
  <c r="R171" i="21"/>
  <c r="R182" i="21"/>
  <c r="S541" i="21"/>
  <c r="T539" i="21"/>
  <c r="I310" i="21"/>
  <c r="J321" i="21"/>
  <c r="Q510" i="21"/>
  <c r="K407" i="21"/>
  <c r="K409" i="21"/>
  <c r="W555" i="21"/>
  <c r="V559" i="21"/>
  <c r="P265" i="21"/>
  <c r="P267" i="21"/>
  <c r="L391" i="21"/>
  <c r="M388" i="21"/>
  <c r="M390" i="21"/>
  <c r="L392" i="21"/>
  <c r="M664" i="21"/>
  <c r="M640" i="21"/>
  <c r="X434" i="21"/>
  <c r="X440" i="21"/>
  <c r="X453" i="21"/>
  <c r="Y433" i="21"/>
  <c r="H416" i="21"/>
  <c r="H330" i="21"/>
  <c r="H765" i="20"/>
  <c r="K665" i="20"/>
  <c r="K679" i="20"/>
  <c r="K696" i="20"/>
  <c r="K698" i="20"/>
  <c r="T270" i="20"/>
  <c r="U107" i="20"/>
  <c r="V274" i="20"/>
  <c r="W108" i="20"/>
  <c r="V106" i="20"/>
  <c r="U266" i="20"/>
  <c r="T745" i="20"/>
  <c r="T766" i="20"/>
  <c r="U642" i="20"/>
  <c r="V98" i="20"/>
  <c r="U320" i="20"/>
  <c r="U738" i="20"/>
  <c r="U648" i="20"/>
  <c r="U357" i="20"/>
  <c r="U359" i="20"/>
  <c r="U697" i="20"/>
  <c r="S461" i="20"/>
  <c r="L643" i="20"/>
  <c r="L329" i="20"/>
  <c r="L641" i="20"/>
  <c r="L645" i="20"/>
  <c r="S479" i="20"/>
  <c r="S492" i="20"/>
  <c r="S494" i="20"/>
  <c r="S509" i="20"/>
  <c r="S510" i="20"/>
  <c r="P248" i="20"/>
  <c r="P269" i="20"/>
  <c r="P271" i="20"/>
  <c r="U469" i="20"/>
  <c r="R168" i="20"/>
  <c r="Q191" i="20"/>
  <c r="R167" i="20"/>
  <c r="R212" i="20"/>
  <c r="Q192" i="20"/>
  <c r="U529" i="20"/>
  <c r="V527" i="20"/>
  <c r="M263" i="20"/>
  <c r="P185" i="20"/>
  <c r="X498" i="20"/>
  <c r="W501" i="20"/>
  <c r="W503" i="20"/>
  <c r="U521" i="20"/>
  <c r="T523" i="20"/>
  <c r="T525" i="20"/>
  <c r="O303" i="20"/>
  <c r="O317" i="20"/>
  <c r="O326" i="20"/>
  <c r="O682" i="20"/>
  <c r="O684" i="20"/>
  <c r="O204" i="20"/>
  <c r="O632" i="20"/>
  <c r="O301" i="20"/>
  <c r="T531" i="20"/>
  <c r="S533" i="20"/>
  <c r="S535" i="20"/>
  <c r="S574" i="20"/>
  <c r="S575" i="20"/>
  <c r="U540" i="20"/>
  <c r="V483" i="20"/>
  <c r="M694" i="20"/>
  <c r="V615" i="20"/>
  <c r="W611" i="20"/>
  <c r="V629" i="20"/>
  <c r="V631" i="20"/>
  <c r="T473" i="20"/>
  <c r="U471" i="20"/>
  <c r="M388" i="20"/>
  <c r="M390" i="20"/>
  <c r="Y517" i="20"/>
  <c r="X519" i="20"/>
  <c r="L682" i="20"/>
  <c r="N324" i="20"/>
  <c r="N687" i="20"/>
  <c r="N689" i="20"/>
  <c r="T177" i="20"/>
  <c r="S178" i="20"/>
  <c r="J306" i="20"/>
  <c r="K643" i="20"/>
  <c r="K329" i="20"/>
  <c r="K641" i="20"/>
  <c r="K645" i="20"/>
  <c r="I767" i="20"/>
  <c r="I746" i="20"/>
  <c r="I651" i="20"/>
  <c r="I653" i="20"/>
  <c r="I655" i="20"/>
  <c r="O296" i="20"/>
  <c r="O195" i="20"/>
  <c r="O618" i="20"/>
  <c r="K297" i="20"/>
  <c r="K298" i="20"/>
  <c r="K306" i="20"/>
  <c r="X628" i="20"/>
  <c r="M664" i="20"/>
  <c r="M640" i="20"/>
  <c r="Q185" i="20"/>
  <c r="T165" i="20"/>
  <c r="T475" i="20"/>
  <c r="S477" i="20"/>
  <c r="X545" i="20"/>
  <c r="W551" i="20"/>
  <c r="P192" i="20"/>
  <c r="N622" i="20"/>
  <c r="N619" i="20"/>
  <c r="T373" i="20"/>
  <c r="S385" i="20"/>
  <c r="S389" i="20"/>
  <c r="S377" i="20"/>
  <c r="S378" i="20"/>
  <c r="S404" i="20"/>
  <c r="S408" i="20"/>
  <c r="F709" i="20"/>
  <c r="F698" i="20"/>
  <c r="U434" i="20"/>
  <c r="U440" i="20"/>
  <c r="U453" i="20"/>
  <c r="U617" i="20"/>
  <c r="V614" i="20"/>
  <c r="N636" i="20"/>
  <c r="N633" i="20"/>
  <c r="T541" i="20"/>
  <c r="U539" i="20"/>
  <c r="I416" i="20"/>
  <c r="L277" i="20"/>
  <c r="L280" i="20"/>
  <c r="L282" i="20"/>
  <c r="L313" i="20"/>
  <c r="L323" i="20"/>
  <c r="L663" i="20"/>
  <c r="L665" i="20"/>
  <c r="L679" i="20"/>
  <c r="G330" i="20"/>
  <c r="F744" i="20"/>
  <c r="F765" i="20"/>
  <c r="J663" i="20"/>
  <c r="P201" i="20"/>
  <c r="J407" i="20"/>
  <c r="J409" i="20"/>
  <c r="X555" i="20"/>
  <c r="W559" i="20"/>
  <c r="G711" i="20"/>
  <c r="G744" i="20"/>
  <c r="G765" i="20"/>
  <c r="D653" i="20"/>
  <c r="Q251" i="20"/>
  <c r="U482" i="20"/>
  <c r="T484" i="20"/>
  <c r="L689" i="20"/>
  <c r="T458" i="20"/>
  <c r="T460" i="20"/>
  <c r="D719" i="20"/>
  <c r="R287" i="20"/>
  <c r="Q200" i="20"/>
  <c r="Q201" i="20"/>
  <c r="Q231" i="20"/>
  <c r="O283" i="20"/>
  <c r="O315" i="20"/>
  <c r="O492" i="14"/>
  <c r="O494" i="14"/>
  <c r="O509" i="14"/>
  <c r="I649" i="14"/>
  <c r="T179" i="14"/>
  <c r="T184" i="14"/>
  <c r="T167" i="14"/>
  <c r="T171" i="14"/>
  <c r="J649" i="14"/>
  <c r="J767" i="14"/>
  <c r="J708" i="14"/>
  <c r="T212" i="14"/>
  <c r="T287" i="14"/>
  <c r="I646" i="14"/>
  <c r="M318" i="14"/>
  <c r="M652" i="14"/>
  <c r="T291" i="14"/>
  <c r="R227" i="14"/>
  <c r="R676" i="14"/>
  <c r="R677" i="14"/>
  <c r="P745" i="14"/>
  <c r="P766" i="14"/>
  <c r="P540" i="14"/>
  <c r="P541" i="14"/>
  <c r="P574" i="14"/>
  <c r="P575" i="14"/>
  <c r="Q483" i="14"/>
  <c r="P484" i="14"/>
  <c r="Q629" i="14"/>
  <c r="R611" i="14"/>
  <c r="Q615" i="14"/>
  <c r="Q617" i="14"/>
  <c r="Q320" i="14"/>
  <c r="Q738" i="14"/>
  <c r="Q648" i="14"/>
  <c r="Q642" i="14"/>
  <c r="Q697" i="14"/>
  <c r="Q357" i="14"/>
  <c r="Q359" i="14"/>
  <c r="R531" i="14"/>
  <c r="Q533" i="14"/>
  <c r="Q535" i="14"/>
  <c r="P631" i="14"/>
  <c r="P633" i="14"/>
  <c r="P638" i="14"/>
  <c r="Q628" i="14"/>
  <c r="O303" i="14"/>
  <c r="O317" i="14"/>
  <c r="O326" i="14"/>
  <c r="O682" i="14"/>
  <c r="O684" i="14"/>
  <c r="P245" i="14"/>
  <c r="P246" i="14"/>
  <c r="P269" i="14"/>
  <c r="P271" i="14"/>
  <c r="O269" i="14"/>
  <c r="O271" i="14"/>
  <c r="O283" i="14"/>
  <c r="O315" i="14"/>
  <c r="Q96" i="9"/>
  <c r="P726" i="14"/>
  <c r="P741" i="14"/>
  <c r="Q36" i="9"/>
  <c r="P657" i="14"/>
  <c r="P206" i="14"/>
  <c r="P463" i="14"/>
  <c r="P113" i="14"/>
  <c r="P187" i="14"/>
  <c r="P596" i="14"/>
  <c r="P764" i="14"/>
  <c r="P294" i="14"/>
  <c r="P332" i="14"/>
  <c r="P94" i="14"/>
  <c r="P512" i="14"/>
  <c r="P605" i="14"/>
  <c r="P149" i="14"/>
  <c r="P426" i="14"/>
  <c r="P218" i="14"/>
  <c r="Q47" i="9"/>
  <c r="P102" i="9"/>
  <c r="Q101" i="9"/>
  <c r="P755" i="14"/>
  <c r="R53" i="9"/>
  <c r="Q233" i="14"/>
  <c r="R98" i="9"/>
  <c r="Q732" i="14"/>
  <c r="Q95" i="14"/>
  <c r="R37" i="9"/>
  <c r="Q83" i="9"/>
  <c r="P674" i="14"/>
  <c r="R49" i="9"/>
  <c r="Q223" i="14"/>
  <c r="Q224" i="14"/>
  <c r="S167" i="14"/>
  <c r="S171" i="14"/>
  <c r="S168" i="14"/>
  <c r="S172" i="14"/>
  <c r="R191" i="14"/>
  <c r="R192" i="14"/>
  <c r="S170" i="14"/>
  <c r="S212" i="14"/>
  <c r="S191" i="14"/>
  <c r="U168" i="14"/>
  <c r="U172" i="14"/>
  <c r="T191" i="14"/>
  <c r="U192" i="14"/>
  <c r="U167" i="14"/>
  <c r="U171" i="14"/>
  <c r="U170" i="14"/>
  <c r="U212" i="14"/>
  <c r="C166" i="14"/>
  <c r="O265" i="14"/>
  <c r="O267" i="14"/>
  <c r="O228" i="14"/>
  <c r="Q195" i="14"/>
  <c r="Q618" i="14"/>
  <c r="Q622" i="14"/>
  <c r="Q296" i="14"/>
  <c r="Q234" i="14"/>
  <c r="R54" i="9"/>
  <c r="R247" i="14"/>
  <c r="C572" i="14"/>
  <c r="U507" i="14"/>
  <c r="D651" i="14"/>
  <c r="Q45" i="9"/>
  <c r="P216" i="14"/>
  <c r="P219" i="14"/>
  <c r="P220" i="14"/>
  <c r="P221" i="14"/>
  <c r="P226" i="14"/>
  <c r="O678" i="14"/>
  <c r="O273" i="14"/>
  <c r="O275" i="14"/>
  <c r="O257" i="14"/>
  <c r="K298" i="14"/>
  <c r="K306" i="14"/>
  <c r="K297" i="14"/>
  <c r="H298" i="14"/>
  <c r="H297" i="14"/>
  <c r="R55" i="9"/>
  <c r="Q235" i="14"/>
  <c r="F746" i="14"/>
  <c r="F767" i="14"/>
  <c r="P669" i="14"/>
  <c r="Q78" i="9"/>
  <c r="H708" i="14"/>
  <c r="H649" i="14"/>
  <c r="H646" i="14"/>
  <c r="C591" i="14"/>
  <c r="C158" i="14"/>
  <c r="C176" i="14"/>
  <c r="C162" i="14"/>
  <c r="C8" i="14"/>
  <c r="C159" i="14"/>
  <c r="C163" i="14"/>
  <c r="C157" i="14"/>
  <c r="C156" i="14"/>
  <c r="C7" i="14"/>
  <c r="C164" i="14"/>
  <c r="S529" i="14"/>
  <c r="T527" i="14"/>
  <c r="Q43" i="9"/>
  <c r="P214" i="14"/>
  <c r="U471" i="14"/>
  <c r="P619" i="14"/>
  <c r="P624" i="14"/>
  <c r="F679" i="14"/>
  <c r="O404" i="14"/>
  <c r="O419" i="14"/>
  <c r="Q501" i="14"/>
  <c r="Q503" i="14"/>
  <c r="Q507" i="14"/>
  <c r="R498" i="14"/>
  <c r="H410" i="14"/>
  <c r="T419" i="14"/>
  <c r="T422" i="14"/>
  <c r="Q87" i="9"/>
  <c r="P683" i="14"/>
  <c r="C465" i="14"/>
  <c r="P670" i="14"/>
  <c r="Q79" i="9"/>
  <c r="D711" i="14"/>
  <c r="F710" i="14"/>
  <c r="L388" i="14"/>
  <c r="L390" i="14"/>
  <c r="P289" i="14"/>
  <c r="P290" i="14"/>
  <c r="P292" i="14"/>
  <c r="Q71" i="9"/>
  <c r="O745" i="14"/>
  <c r="O766" i="14"/>
  <c r="G684" i="14"/>
  <c r="G640" i="14"/>
  <c r="G664" i="14"/>
  <c r="R183" i="14"/>
  <c r="Q256" i="14"/>
  <c r="O636" i="14"/>
  <c r="O633" i="14"/>
  <c r="I709" i="14"/>
  <c r="I698" i="14"/>
  <c r="N259" i="14"/>
  <c r="R182" i="14"/>
  <c r="Q80" i="9"/>
  <c r="P671" i="14"/>
  <c r="O622" i="14"/>
  <c r="O619" i="14"/>
  <c r="P668" i="14"/>
  <c r="Q77" i="9"/>
  <c r="I298" i="14"/>
  <c r="I306" i="14"/>
  <c r="I297" i="14"/>
  <c r="H689" i="14"/>
  <c r="Q693" i="14"/>
  <c r="R93" i="9"/>
  <c r="Q266" i="14"/>
  <c r="Q236" i="14"/>
  <c r="R56" i="9"/>
  <c r="Q63" i="9"/>
  <c r="P243" i="14"/>
  <c r="R44" i="9"/>
  <c r="Q215" i="14"/>
  <c r="R200" i="14"/>
  <c r="S201" i="14"/>
  <c r="S287" i="14"/>
  <c r="S179" i="14"/>
  <c r="S184" i="14"/>
  <c r="R237" i="14"/>
  <c r="S57" i="9"/>
  <c r="Q76" i="9"/>
  <c r="P667" i="14"/>
  <c r="N618" i="14"/>
  <c r="S401" i="14"/>
  <c r="S402" i="14"/>
  <c r="S356" i="14"/>
  <c r="R81" i="9"/>
  <c r="Q672" i="14"/>
  <c r="C570" i="14"/>
  <c r="L277" i="14"/>
  <c r="L280" i="14"/>
  <c r="L282" i="14"/>
  <c r="L313" i="14"/>
  <c r="L323" i="14"/>
  <c r="L663" i="14"/>
  <c r="L665" i="14"/>
  <c r="L679" i="14"/>
  <c r="L696" i="14"/>
  <c r="J709" i="14"/>
  <c r="J698" i="14"/>
  <c r="M325" i="14"/>
  <c r="Q185" i="14"/>
  <c r="F706" i="14"/>
  <c r="F328" i="14"/>
  <c r="T523" i="14"/>
  <c r="T525" i="14"/>
  <c r="U521" i="14"/>
  <c r="R181" i="14"/>
  <c r="R654" i="14"/>
  <c r="K709" i="14"/>
  <c r="K698" i="14"/>
  <c r="K651" i="14"/>
  <c r="K653" i="14"/>
  <c r="K655" i="14"/>
  <c r="Q472" i="14"/>
  <c r="P473" i="14"/>
  <c r="P479" i="14"/>
  <c r="AC469" i="14"/>
  <c r="R551" i="14"/>
  <c r="S545" i="14"/>
  <c r="C566" i="14"/>
  <c r="U354" i="14"/>
  <c r="C350" i="14"/>
  <c r="J298" i="14"/>
  <c r="J306" i="14"/>
  <c r="J297" i="14"/>
  <c r="N284" i="14"/>
  <c r="N316" i="14"/>
  <c r="N325" i="14"/>
  <c r="N692" i="14"/>
  <c r="N694" i="14"/>
  <c r="F311" i="14"/>
  <c r="E311" i="14"/>
  <c r="Q204" i="14"/>
  <c r="Q632" i="14"/>
  <c r="Q636" i="14"/>
  <c r="Q301" i="14"/>
  <c r="N632" i="14"/>
  <c r="R60" i="9"/>
  <c r="Q240" i="14"/>
  <c r="R539" i="14"/>
  <c r="R404" i="14"/>
  <c r="R408" i="14"/>
  <c r="R419" i="14"/>
  <c r="R422" i="14"/>
  <c r="U287" i="14"/>
  <c r="T200" i="14"/>
  <c r="U201" i="14"/>
  <c r="U179" i="14"/>
  <c r="U184" i="14"/>
  <c r="C178" i="14"/>
  <c r="C177" i="14"/>
  <c r="M746" i="14"/>
  <c r="M767" i="14"/>
  <c r="R477" i="14"/>
  <c r="S475" i="14"/>
  <c r="T654" i="14"/>
  <c r="Q97" i="9"/>
  <c r="P727" i="14"/>
  <c r="R251" i="14"/>
  <c r="R184" i="14"/>
  <c r="M326" i="14"/>
  <c r="S559" i="14"/>
  <c r="T555" i="14"/>
  <c r="N324" i="14"/>
  <c r="N687" i="14"/>
  <c r="N689" i="14"/>
  <c r="R59" i="9"/>
  <c r="Q239" i="14"/>
  <c r="U587" i="14"/>
  <c r="U593" i="14"/>
  <c r="R270" i="14"/>
  <c r="M263" i="14"/>
  <c r="S614" i="14"/>
  <c r="R231" i="14"/>
  <c r="T231" i="14"/>
  <c r="I746" i="14"/>
  <c r="I767" i="14"/>
  <c r="O510" i="14"/>
  <c r="T458" i="14"/>
  <c r="T460" i="14"/>
  <c r="R61" i="9"/>
  <c r="Q241" i="14"/>
  <c r="S62" i="9"/>
  <c r="R242" i="14"/>
  <c r="AC482" i="14"/>
  <c r="V433" i="14"/>
  <c r="U434" i="14"/>
  <c r="U440" i="14"/>
  <c r="U453" i="14"/>
  <c r="S458" i="14"/>
  <c r="S460" i="14"/>
  <c r="R377" i="14"/>
  <c r="R378" i="14"/>
  <c r="S373" i="14"/>
  <c r="R385" i="14"/>
  <c r="R389" i="14"/>
  <c r="P274" i="14"/>
  <c r="S585" i="14"/>
  <c r="S587" i="14"/>
  <c r="C583" i="14"/>
  <c r="H323" i="14"/>
  <c r="W580" i="14"/>
  <c r="V581" i="14"/>
  <c r="V587" i="14"/>
  <c r="V593" i="14"/>
  <c r="U519" i="14"/>
  <c r="V517" i="14"/>
  <c r="T251" i="14"/>
  <c r="L708" i="14"/>
  <c r="L649" i="14"/>
  <c r="L646" i="14"/>
  <c r="P253" i="14"/>
  <c r="P255" i="14"/>
  <c r="Q67" i="9"/>
  <c r="P265" i="20"/>
  <c r="P267" i="20"/>
  <c r="P228" i="20"/>
  <c r="K709" i="20"/>
  <c r="S242" i="21"/>
  <c r="S242" i="20"/>
  <c r="Q668" i="21"/>
  <c r="Q668" i="20"/>
  <c r="Q216" i="21"/>
  <c r="Q216" i="20"/>
  <c r="R223" i="21"/>
  <c r="R224" i="21"/>
  <c r="R223" i="20"/>
  <c r="R224" i="20"/>
  <c r="Q675" i="21"/>
  <c r="Q675" i="20"/>
  <c r="Q675" i="14"/>
  <c r="R84" i="9"/>
  <c r="J310" i="21"/>
  <c r="K321" i="21"/>
  <c r="Q238" i="20"/>
  <c r="Q245" i="20"/>
  <c r="Q246" i="20"/>
  <c r="Q238" i="21"/>
  <c r="R58" i="9"/>
  <c r="Q238" i="14"/>
  <c r="Q253" i="21"/>
  <c r="Q254" i="21"/>
  <c r="Q255" i="21"/>
  <c r="Q253" i="20"/>
  <c r="R672" i="21"/>
  <c r="R672" i="20"/>
  <c r="R215" i="21"/>
  <c r="R215" i="20"/>
  <c r="R235" i="21"/>
  <c r="R235" i="20"/>
  <c r="P756" i="14"/>
  <c r="P756" i="21"/>
  <c r="P756" i="20"/>
  <c r="K310" i="21"/>
  <c r="O257" i="20"/>
  <c r="O273" i="20"/>
  <c r="O275" i="20"/>
  <c r="Q670" i="21"/>
  <c r="Q670" i="20"/>
  <c r="P678" i="20"/>
  <c r="R241" i="21"/>
  <c r="R241" i="20"/>
  <c r="Q218" i="21"/>
  <c r="Q218" i="20"/>
  <c r="Q671" i="21"/>
  <c r="Q671" i="20"/>
  <c r="P678" i="21"/>
  <c r="Q214" i="21"/>
  <c r="Q214" i="20"/>
  <c r="Q667" i="21"/>
  <c r="Q667" i="20"/>
  <c r="Q683" i="21"/>
  <c r="Q683" i="20"/>
  <c r="R732" i="21"/>
  <c r="R732" i="20"/>
  <c r="Q426" i="21"/>
  <c r="Q332" i="21"/>
  <c r="Q294" i="21"/>
  <c r="Q764" i="21"/>
  <c r="Q741" i="21"/>
  <c r="Q463" i="21"/>
  <c r="Q596" i="21"/>
  <c r="Q512" i="21"/>
  <c r="Q605" i="21"/>
  <c r="Q741" i="20"/>
  <c r="Q206" i="21"/>
  <c r="Q764" i="20"/>
  <c r="Q113" i="21"/>
  <c r="Q187" i="21"/>
  <c r="Q657" i="21"/>
  <c r="Q149" i="21"/>
  <c r="Q596" i="20"/>
  <c r="Q94" i="21"/>
  <c r="Q294" i="20"/>
  <c r="Q512" i="20"/>
  <c r="Q463" i="20"/>
  <c r="Q605" i="20"/>
  <c r="Q657" i="20"/>
  <c r="Q426" i="20"/>
  <c r="Q206" i="20"/>
  <c r="Q332" i="20"/>
  <c r="Q149" i="20"/>
  <c r="Q94" i="20"/>
  <c r="Q187" i="20"/>
  <c r="Q113" i="20"/>
  <c r="P248" i="21"/>
  <c r="P269" i="21"/>
  <c r="P271" i="21"/>
  <c r="Q243" i="21"/>
  <c r="Q243" i="20"/>
  <c r="N318" i="20"/>
  <c r="N652" i="20"/>
  <c r="Q688" i="21"/>
  <c r="Q688" i="20"/>
  <c r="Q688" i="14"/>
  <c r="R90" i="9"/>
  <c r="R240" i="21"/>
  <c r="R240" i="20"/>
  <c r="P255" i="20"/>
  <c r="Q245" i="21"/>
  <c r="Q246" i="21"/>
  <c r="R95" i="21"/>
  <c r="R95" i="20"/>
  <c r="R236" i="21"/>
  <c r="R236" i="20"/>
  <c r="R234" i="21"/>
  <c r="R234" i="20"/>
  <c r="S237" i="21"/>
  <c r="S237" i="20"/>
  <c r="R693" i="21"/>
  <c r="R693" i="20"/>
  <c r="Q669" i="21"/>
  <c r="Q669" i="20"/>
  <c r="R233" i="21"/>
  <c r="R233" i="20"/>
  <c r="P255" i="21"/>
  <c r="Q673" i="21"/>
  <c r="Q673" i="20"/>
  <c r="R82" i="9"/>
  <c r="Q673" i="14"/>
  <c r="P302" i="21"/>
  <c r="P303" i="21"/>
  <c r="P317" i="21"/>
  <c r="P326" i="21"/>
  <c r="P682" i="21"/>
  <c r="P684" i="21"/>
  <c r="Q674" i="21"/>
  <c r="Q674" i="20"/>
  <c r="Q289" i="21"/>
  <c r="Q290" i="21"/>
  <c r="Q292" i="21"/>
  <c r="Q289" i="20"/>
  <c r="Q290" i="20"/>
  <c r="Q292" i="20"/>
  <c r="Q302" i="20"/>
  <c r="Q726" i="21"/>
  <c r="Q726" i="20"/>
  <c r="N259" i="20"/>
  <c r="O273" i="21"/>
  <c r="O275" i="21"/>
  <c r="O257" i="21"/>
  <c r="Q254" i="20"/>
  <c r="Q254" i="14"/>
  <c r="R68" i="9"/>
  <c r="N284" i="21"/>
  <c r="N316" i="21"/>
  <c r="N259" i="21"/>
  <c r="N263" i="21"/>
  <c r="Q727" i="21"/>
  <c r="Q727" i="20"/>
  <c r="R239" i="21"/>
  <c r="R239" i="20"/>
  <c r="Q755" i="21"/>
  <c r="Q755" i="20"/>
  <c r="M325" i="21"/>
  <c r="M692" i="21"/>
  <c r="M694" i="21"/>
  <c r="M318" i="21"/>
  <c r="M652" i="21"/>
  <c r="Q217" i="21"/>
  <c r="Q219" i="21"/>
  <c r="Q220" i="21"/>
  <c r="Q221" i="21"/>
  <c r="Q226" i="21"/>
  <c r="Q217" i="20"/>
  <c r="Q219" i="20"/>
  <c r="Q220" i="20"/>
  <c r="Q221" i="20"/>
  <c r="Q226" i="20"/>
  <c r="Q217" i="14"/>
  <c r="R46" i="9"/>
  <c r="O283" i="21"/>
  <c r="O315" i="21"/>
  <c r="V100" i="21"/>
  <c r="U227" i="21"/>
  <c r="U676" i="21"/>
  <c r="U677" i="21"/>
  <c r="V270" i="21"/>
  <c r="W107" i="21"/>
  <c r="V274" i="21"/>
  <c r="W108" i="21"/>
  <c r="Z101" i="21"/>
  <c r="Y247" i="21"/>
  <c r="X256" i="21"/>
  <c r="Y102" i="21"/>
  <c r="T766" i="21"/>
  <c r="T745" i="21"/>
  <c r="U697" i="21"/>
  <c r="U320" i="21"/>
  <c r="V98" i="21"/>
  <c r="U642" i="21"/>
  <c r="U357" i="21"/>
  <c r="U359" i="21"/>
  <c r="U648" i="21"/>
  <c r="U738" i="21"/>
  <c r="W291" i="21"/>
  <c r="X103" i="21"/>
  <c r="W266" i="21"/>
  <c r="X106" i="21"/>
  <c r="X247" i="20"/>
  <c r="Y101" i="20"/>
  <c r="X676" i="20"/>
  <c r="X677" i="20"/>
  <c r="Y100" i="20"/>
  <c r="X227" i="20"/>
  <c r="V291" i="20"/>
  <c r="W103" i="20"/>
  <c r="W256" i="20"/>
  <c r="X102" i="20"/>
  <c r="S301" i="21"/>
  <c r="S204" i="21"/>
  <c r="S632" i="21"/>
  <c r="M391" i="21"/>
  <c r="M392" i="21"/>
  <c r="U529" i="21"/>
  <c r="U535" i="21"/>
  <c r="V527" i="21"/>
  <c r="T373" i="21"/>
  <c r="S385" i="21"/>
  <c r="S389" i="21"/>
  <c r="S377" i="21"/>
  <c r="S378" i="21"/>
  <c r="S404" i="21"/>
  <c r="S408" i="21"/>
  <c r="X517" i="21"/>
  <c r="W519" i="21"/>
  <c r="S510" i="21"/>
  <c r="W551" i="21"/>
  <c r="X545" i="21"/>
  <c r="R185" i="21"/>
  <c r="O638" i="21"/>
  <c r="H710" i="21"/>
  <c r="U539" i="21"/>
  <c r="T541" i="21"/>
  <c r="T574" i="21"/>
  <c r="V611" i="21"/>
  <c r="U629" i="21"/>
  <c r="U631" i="21"/>
  <c r="U615" i="21"/>
  <c r="U617" i="21"/>
  <c r="P622" i="21"/>
  <c r="P619" i="21"/>
  <c r="P624" i="21"/>
  <c r="U471" i="21"/>
  <c r="T473" i="21"/>
  <c r="T479" i="21"/>
  <c r="W628" i="21"/>
  <c r="O682" i="21"/>
  <c r="W559" i="21"/>
  <c r="X555" i="21"/>
  <c r="V477" i="21"/>
  <c r="W475" i="21"/>
  <c r="Q622" i="21"/>
  <c r="Q619" i="21"/>
  <c r="Q624" i="21"/>
  <c r="Z433" i="21"/>
  <c r="Y434" i="21"/>
  <c r="Y440" i="21"/>
  <c r="Y453" i="21"/>
  <c r="K410" i="21"/>
  <c r="K411" i="21"/>
  <c r="K414" i="21"/>
  <c r="U498" i="21"/>
  <c r="T501" i="21"/>
  <c r="T503" i="21"/>
  <c r="T507" i="21"/>
  <c r="C507" i="21"/>
  <c r="S251" i="21"/>
  <c r="H709" i="21"/>
  <c r="H698" i="21"/>
  <c r="I711" i="21"/>
  <c r="L706" i="21"/>
  <c r="L328" i="21"/>
  <c r="L330" i="21"/>
  <c r="Z614" i="21"/>
  <c r="X469" i="21"/>
  <c r="V165" i="21"/>
  <c r="U166" i="21"/>
  <c r="U170" i="21"/>
  <c r="X460" i="21"/>
  <c r="X458" i="21"/>
  <c r="Z531" i="21"/>
  <c r="Y533" i="21"/>
  <c r="V540" i="21"/>
  <c r="W483" i="21"/>
  <c r="I746" i="21"/>
  <c r="I767" i="21"/>
  <c r="I651" i="21"/>
  <c r="I653" i="21"/>
  <c r="I655" i="21"/>
  <c r="N708" i="21"/>
  <c r="N649" i="21"/>
  <c r="N646" i="21"/>
  <c r="N277" i="21"/>
  <c r="N280" i="21"/>
  <c r="N282" i="21"/>
  <c r="N313" i="21"/>
  <c r="N323" i="21"/>
  <c r="N663" i="21"/>
  <c r="N665" i="21"/>
  <c r="N679" i="21"/>
  <c r="R510" i="21"/>
  <c r="R636" i="21"/>
  <c r="R633" i="21"/>
  <c r="J698" i="21"/>
  <c r="J651" i="21"/>
  <c r="J653" i="21"/>
  <c r="J655" i="21"/>
  <c r="J709" i="21"/>
  <c r="R195" i="21"/>
  <c r="R618" i="21"/>
  <c r="R296" i="21"/>
  <c r="S231" i="21"/>
  <c r="U287" i="21"/>
  <c r="T200" i="21"/>
  <c r="T201" i="21"/>
  <c r="D720" i="21"/>
  <c r="E718" i="21"/>
  <c r="E719" i="21"/>
  <c r="D721" i="21"/>
  <c r="M643" i="21"/>
  <c r="M329" i="21"/>
  <c r="M641" i="21"/>
  <c r="M645" i="21"/>
  <c r="W523" i="21"/>
  <c r="W525" i="21"/>
  <c r="X521" i="21"/>
  <c r="T167" i="21"/>
  <c r="T171" i="21"/>
  <c r="T182" i="21"/>
  <c r="T212" i="21"/>
  <c r="T168" i="21"/>
  <c r="S191" i="21"/>
  <c r="S192" i="21"/>
  <c r="T172" i="21"/>
  <c r="T183" i="21"/>
  <c r="S171" i="21"/>
  <c r="S182" i="21"/>
  <c r="S185" i="21"/>
  <c r="U179" i="21"/>
  <c r="U184" i="21"/>
  <c r="T484" i="21"/>
  <c r="U482" i="21"/>
  <c r="M663" i="21"/>
  <c r="J706" i="21"/>
  <c r="J328" i="21"/>
  <c r="K311" i="21"/>
  <c r="W177" i="21"/>
  <c r="V178" i="21"/>
  <c r="O624" i="21"/>
  <c r="M297" i="21"/>
  <c r="M298" i="21"/>
  <c r="M306" i="21"/>
  <c r="J311" i="21"/>
  <c r="I311" i="21"/>
  <c r="AD451" i="21"/>
  <c r="C451" i="21"/>
  <c r="C445" i="21"/>
  <c r="Q636" i="21"/>
  <c r="Q633" i="21"/>
  <c r="Q638" i="21"/>
  <c r="N624" i="20"/>
  <c r="U270" i="20"/>
  <c r="V107" i="20"/>
  <c r="W106" i="20"/>
  <c r="V266" i="20"/>
  <c r="W274" i="20"/>
  <c r="X108" i="20"/>
  <c r="U745" i="20"/>
  <c r="U766" i="20"/>
  <c r="V642" i="20"/>
  <c r="V320" i="20"/>
  <c r="W98" i="20"/>
  <c r="V738" i="20"/>
  <c r="V648" i="20"/>
  <c r="V357" i="20"/>
  <c r="V359" i="20"/>
  <c r="V697" i="20"/>
  <c r="T461" i="20"/>
  <c r="V469" i="20"/>
  <c r="V434" i="20"/>
  <c r="V440" i="20"/>
  <c r="V453" i="20"/>
  <c r="Z517" i="20"/>
  <c r="Y519" i="20"/>
  <c r="U458" i="20"/>
  <c r="U460" i="20"/>
  <c r="Y555" i="20"/>
  <c r="X559" i="20"/>
  <c r="L298" i="20"/>
  <c r="L306" i="20"/>
  <c r="L297" i="20"/>
  <c r="Q303" i="20"/>
  <c r="Q317" i="20"/>
  <c r="Q326" i="20"/>
  <c r="Q682" i="20"/>
  <c r="Q684" i="20"/>
  <c r="Q301" i="20"/>
  <c r="Q204" i="20"/>
  <c r="Q632" i="20"/>
  <c r="P296" i="20"/>
  <c r="P195" i="20"/>
  <c r="P618" i="20"/>
  <c r="M391" i="20"/>
  <c r="M392" i="20"/>
  <c r="U531" i="20"/>
  <c r="T533" i="20"/>
  <c r="V529" i="20"/>
  <c r="W527" i="20"/>
  <c r="V482" i="20"/>
  <c r="U484" i="20"/>
  <c r="J410" i="20"/>
  <c r="J411" i="20"/>
  <c r="J414" i="20"/>
  <c r="J416" i="20"/>
  <c r="J710" i="20"/>
  <c r="N638" i="20"/>
  <c r="N640" i="20"/>
  <c r="M329" i="20"/>
  <c r="M643" i="20"/>
  <c r="M641" i="20"/>
  <c r="M645" i="20"/>
  <c r="K708" i="20"/>
  <c r="K649" i="20"/>
  <c r="K646" i="20"/>
  <c r="U473" i="20"/>
  <c r="V471" i="20"/>
  <c r="P283" i="20"/>
  <c r="P315" i="20"/>
  <c r="I710" i="20"/>
  <c r="I711" i="20"/>
  <c r="F651" i="20"/>
  <c r="Y545" i="20"/>
  <c r="X551" i="20"/>
  <c r="S287" i="20"/>
  <c r="R200" i="20"/>
  <c r="O636" i="20"/>
  <c r="O633" i="20"/>
  <c r="Q296" i="20"/>
  <c r="Q195" i="20"/>
  <c r="Q618" i="20"/>
  <c r="P303" i="20"/>
  <c r="P317" i="20"/>
  <c r="P326" i="20"/>
  <c r="P682" i="20"/>
  <c r="P684" i="20"/>
  <c r="P301" i="20"/>
  <c r="P204" i="20"/>
  <c r="P632" i="20"/>
  <c r="N263" i="20"/>
  <c r="Y628" i="20"/>
  <c r="S179" i="20"/>
  <c r="S184" i="20"/>
  <c r="L708" i="20"/>
  <c r="L649" i="20"/>
  <c r="L646" i="20"/>
  <c r="D720" i="20"/>
  <c r="E718" i="20"/>
  <c r="E719" i="20"/>
  <c r="D721" i="20"/>
  <c r="F711" i="20"/>
  <c r="U177" i="20"/>
  <c r="T178" i="20"/>
  <c r="T179" i="20"/>
  <c r="T184" i="20"/>
  <c r="W615" i="20"/>
  <c r="W629" i="20"/>
  <c r="W631" i="20"/>
  <c r="X611" i="20"/>
  <c r="R654" i="20"/>
  <c r="R181" i="20"/>
  <c r="R231" i="20"/>
  <c r="J665" i="20"/>
  <c r="T477" i="20"/>
  <c r="T479" i="20"/>
  <c r="T492" i="20"/>
  <c r="T494" i="20"/>
  <c r="T509" i="20"/>
  <c r="U475" i="20"/>
  <c r="K321" i="20"/>
  <c r="J310" i="20"/>
  <c r="T535" i="20"/>
  <c r="T574" i="20"/>
  <c r="R171" i="20"/>
  <c r="R182" i="20"/>
  <c r="V617" i="20"/>
  <c r="W614" i="20"/>
  <c r="I310" i="20"/>
  <c r="J321" i="20"/>
  <c r="V521" i="20"/>
  <c r="U523" i="20"/>
  <c r="U525" i="20"/>
  <c r="N664" i="20"/>
  <c r="R191" i="20"/>
  <c r="R192" i="20"/>
  <c r="S212" i="20"/>
  <c r="S168" i="20"/>
  <c r="S167" i="20"/>
  <c r="S171" i="20"/>
  <c r="S182" i="20"/>
  <c r="O622" i="20"/>
  <c r="O619" i="20"/>
  <c r="R251" i="20"/>
  <c r="U373" i="20"/>
  <c r="T385" i="20"/>
  <c r="T389" i="20"/>
  <c r="T377" i="20"/>
  <c r="T378" i="20"/>
  <c r="T404" i="20"/>
  <c r="T408" i="20"/>
  <c r="W483" i="20"/>
  <c r="V540" i="20"/>
  <c r="X501" i="20"/>
  <c r="X503" i="20"/>
  <c r="Y498" i="20"/>
  <c r="R172" i="20"/>
  <c r="R183" i="20"/>
  <c r="M277" i="20"/>
  <c r="M280" i="20"/>
  <c r="M282" i="20"/>
  <c r="M313" i="20"/>
  <c r="M323" i="20"/>
  <c r="M663" i="20"/>
  <c r="M665" i="20"/>
  <c r="M679" i="20"/>
  <c r="M696" i="20"/>
  <c r="O324" i="20"/>
  <c r="O687" i="20"/>
  <c r="O689" i="20"/>
  <c r="V539" i="20"/>
  <c r="U541" i="20"/>
  <c r="U165" i="20"/>
  <c r="L684" i="20"/>
  <c r="L696" i="20"/>
  <c r="J746" i="14"/>
  <c r="J651" i="14"/>
  <c r="J653" i="14"/>
  <c r="J655" i="14"/>
  <c r="I651" i="14"/>
  <c r="I653" i="14"/>
  <c r="I655" i="14"/>
  <c r="P248" i="14"/>
  <c r="P283" i="14"/>
  <c r="P315" i="14"/>
  <c r="P324" i="14"/>
  <c r="P687" i="14"/>
  <c r="P689" i="14"/>
  <c r="C170" i="14"/>
  <c r="C20" i="9"/>
  <c r="P492" i="14"/>
  <c r="P494" i="14"/>
  <c r="P509" i="14"/>
  <c r="P510" i="14"/>
  <c r="Q619" i="14"/>
  <c r="Q624" i="14"/>
  <c r="O624" i="14"/>
  <c r="O664" i="14"/>
  <c r="O638" i="14"/>
  <c r="R201" i="14"/>
  <c r="R204" i="14"/>
  <c r="U291" i="14"/>
  <c r="T201" i="14"/>
  <c r="T204" i="14"/>
  <c r="T632" i="14"/>
  <c r="T636" i="14"/>
  <c r="C171" i="14"/>
  <c r="C179" i="14"/>
  <c r="S676" i="14"/>
  <c r="S677" i="14"/>
  <c r="S227" i="14"/>
  <c r="R628" i="14"/>
  <c r="Q631" i="14"/>
  <c r="Q633" i="14"/>
  <c r="Q638" i="14"/>
  <c r="R629" i="14"/>
  <c r="S611" i="14"/>
  <c r="R615" i="14"/>
  <c r="R617" i="14"/>
  <c r="R533" i="14"/>
  <c r="R535" i="14"/>
  <c r="S531" i="14"/>
  <c r="Q540" i="14"/>
  <c r="Q541" i="14"/>
  <c r="Q574" i="14"/>
  <c r="Q575" i="14"/>
  <c r="R483" i="14"/>
  <c r="Q484" i="14"/>
  <c r="Q745" i="14"/>
  <c r="Q766" i="14"/>
  <c r="T192" i="14"/>
  <c r="T296" i="14"/>
  <c r="R738" i="14"/>
  <c r="R320" i="14"/>
  <c r="R642" i="14"/>
  <c r="R697" i="14"/>
  <c r="R357" i="14"/>
  <c r="R359" i="14"/>
  <c r="R648" i="14"/>
  <c r="O284" i="14"/>
  <c r="O316" i="14"/>
  <c r="O325" i="14"/>
  <c r="O692" i="14"/>
  <c r="O694" i="14"/>
  <c r="Q726" i="14"/>
  <c r="R96" i="9"/>
  <c r="Q512" i="14"/>
  <c r="Q596" i="14"/>
  <c r="Q206" i="14"/>
  <c r="Q294" i="14"/>
  <c r="Q764" i="14"/>
  <c r="Q426" i="14"/>
  <c r="Q657" i="14"/>
  <c r="Q113" i="14"/>
  <c r="R36" i="9"/>
  <c r="Q605" i="14"/>
  <c r="Q149" i="14"/>
  <c r="Q332" i="14"/>
  <c r="Q463" i="14"/>
  <c r="Q741" i="14"/>
  <c r="Q94" i="14"/>
  <c r="Q187" i="14"/>
  <c r="R47" i="9"/>
  <c r="Q218" i="14"/>
  <c r="Q102" i="9"/>
  <c r="N318" i="14"/>
  <c r="N652" i="14"/>
  <c r="R223" i="14"/>
  <c r="R224" i="14"/>
  <c r="S49" i="9"/>
  <c r="R732" i="14"/>
  <c r="S98" i="9"/>
  <c r="R101" i="9"/>
  <c r="Q755" i="14"/>
  <c r="P678" i="14"/>
  <c r="Q674" i="14"/>
  <c r="R83" i="9"/>
  <c r="S53" i="9"/>
  <c r="R233" i="14"/>
  <c r="S37" i="9"/>
  <c r="R95" i="14"/>
  <c r="S461" i="14"/>
  <c r="N636" i="14"/>
  <c r="N633" i="14"/>
  <c r="V521" i="14"/>
  <c r="U523" i="14"/>
  <c r="U525" i="14"/>
  <c r="S81" i="9"/>
  <c r="R672" i="14"/>
  <c r="R77" i="9"/>
  <c r="Q668" i="14"/>
  <c r="G329" i="14"/>
  <c r="G330" i="14"/>
  <c r="G643" i="14"/>
  <c r="G641" i="14"/>
  <c r="G645" i="14"/>
  <c r="R78" i="9"/>
  <c r="Q669" i="14"/>
  <c r="R185" i="14"/>
  <c r="R195" i="14"/>
  <c r="R296" i="14"/>
  <c r="X580" i="14"/>
  <c r="W581" i="14"/>
  <c r="W587" i="14"/>
  <c r="W593" i="14"/>
  <c r="M277" i="14"/>
  <c r="M280" i="14"/>
  <c r="M282" i="14"/>
  <c r="M313" i="14"/>
  <c r="S270" i="14"/>
  <c r="S551" i="14"/>
  <c r="T545" i="14"/>
  <c r="N622" i="14"/>
  <c r="N619" i="14"/>
  <c r="D719" i="14"/>
  <c r="U655" i="14"/>
  <c r="U654" i="14"/>
  <c r="S182" i="14"/>
  <c r="H746" i="14"/>
  <c r="H767" i="14"/>
  <c r="T62" i="9"/>
  <c r="S242" i="14"/>
  <c r="S59" i="9"/>
  <c r="R239" i="14"/>
  <c r="S477" i="14"/>
  <c r="T475" i="14"/>
  <c r="U204" i="14"/>
  <c r="U632" i="14"/>
  <c r="U636" i="14"/>
  <c r="U301" i="14"/>
  <c r="P228" i="14"/>
  <c r="P265" i="14"/>
  <c r="P267" i="14"/>
  <c r="R266" i="14"/>
  <c r="O324" i="14"/>
  <c r="O687" i="14"/>
  <c r="O689" i="14"/>
  <c r="S247" i="14"/>
  <c r="U231" i="14"/>
  <c r="T614" i="14"/>
  <c r="S237" i="14"/>
  <c r="T57" i="9"/>
  <c r="S539" i="14"/>
  <c r="R63" i="9"/>
  <c r="Q243" i="14"/>
  <c r="R79" i="9"/>
  <c r="Q670" i="14"/>
  <c r="T529" i="14"/>
  <c r="U527" i="14"/>
  <c r="U195" i="14"/>
  <c r="U618" i="14"/>
  <c r="U622" i="14"/>
  <c r="U296" i="14"/>
  <c r="C172" i="14"/>
  <c r="J310" i="14"/>
  <c r="K321" i="14"/>
  <c r="U458" i="14"/>
  <c r="U460" i="14"/>
  <c r="M682" i="14"/>
  <c r="U224" i="14"/>
  <c r="S377" i="14"/>
  <c r="S378" i="14"/>
  <c r="T373" i="14"/>
  <c r="S385" i="14"/>
  <c r="S389" i="14"/>
  <c r="E744" i="14"/>
  <c r="E765" i="14"/>
  <c r="R472" i="14"/>
  <c r="Q473" i="14"/>
  <c r="Q479" i="14"/>
  <c r="R76" i="9"/>
  <c r="Q667" i="14"/>
  <c r="R236" i="14"/>
  <c r="S56" i="9"/>
  <c r="H411" i="14"/>
  <c r="P664" i="14"/>
  <c r="P640" i="14"/>
  <c r="S55" i="9"/>
  <c r="R235" i="14"/>
  <c r="R234" i="14"/>
  <c r="S54" i="9"/>
  <c r="U251" i="14"/>
  <c r="S181" i="14"/>
  <c r="S654" i="14"/>
  <c r="M692" i="14"/>
  <c r="G665" i="14"/>
  <c r="V434" i="14"/>
  <c r="V440" i="14"/>
  <c r="V453" i="14"/>
  <c r="W433" i="14"/>
  <c r="F744" i="14"/>
  <c r="F765" i="14"/>
  <c r="S204" i="14"/>
  <c r="S632" i="14"/>
  <c r="S636" i="14"/>
  <c r="S301" i="14"/>
  <c r="R256" i="14"/>
  <c r="Q289" i="14"/>
  <c r="Q290" i="14"/>
  <c r="Q292" i="14"/>
  <c r="R71" i="9"/>
  <c r="R87" i="9"/>
  <c r="Q683" i="14"/>
  <c r="I407" i="14"/>
  <c r="I409" i="14"/>
  <c r="O422" i="14"/>
  <c r="V471" i="14"/>
  <c r="S192" i="14"/>
  <c r="Q274" i="14"/>
  <c r="S404" i="14"/>
  <c r="S408" i="14"/>
  <c r="S419" i="14"/>
  <c r="S422" i="14"/>
  <c r="T461" i="14"/>
  <c r="AD482" i="14"/>
  <c r="AD469" i="14"/>
  <c r="L709" i="14"/>
  <c r="L698" i="14"/>
  <c r="L651" i="14"/>
  <c r="L653" i="14"/>
  <c r="L655" i="14"/>
  <c r="S93" i="9"/>
  <c r="R693" i="14"/>
  <c r="S498" i="14"/>
  <c r="R501" i="14"/>
  <c r="R503" i="14"/>
  <c r="R507" i="14"/>
  <c r="O408" i="14"/>
  <c r="Q216" i="14"/>
  <c r="Q219" i="14"/>
  <c r="Q220" i="14"/>
  <c r="Q221" i="14"/>
  <c r="Q226" i="14"/>
  <c r="R45" i="9"/>
  <c r="S251" i="14"/>
  <c r="Q253" i="14"/>
  <c r="Q255" i="14"/>
  <c r="R67" i="9"/>
  <c r="I310" i="14"/>
  <c r="J321" i="14"/>
  <c r="F330" i="14"/>
  <c r="L298" i="14"/>
  <c r="L306" i="14"/>
  <c r="L297" i="14"/>
  <c r="S44" i="9"/>
  <c r="R215" i="14"/>
  <c r="R80" i="9"/>
  <c r="Q671" i="14"/>
  <c r="H306" i="14"/>
  <c r="Q245" i="14"/>
  <c r="Q246" i="14"/>
  <c r="O259" i="14"/>
  <c r="S231" i="14"/>
  <c r="Q664" i="14"/>
  <c r="W517" i="14"/>
  <c r="V519" i="14"/>
  <c r="L746" i="14"/>
  <c r="L767" i="14"/>
  <c r="P257" i="14"/>
  <c r="P273" i="14"/>
  <c r="P275" i="14"/>
  <c r="S61" i="9"/>
  <c r="R241" i="14"/>
  <c r="R240" i="14"/>
  <c r="S60" i="9"/>
  <c r="C585" i="14"/>
  <c r="N263" i="14"/>
  <c r="P302" i="14"/>
  <c r="P303" i="14"/>
  <c r="P317" i="14"/>
  <c r="F696" i="14"/>
  <c r="D653" i="14"/>
  <c r="U401" i="14"/>
  <c r="U402" i="14"/>
  <c r="U356" i="14"/>
  <c r="H663" i="14"/>
  <c r="S593" i="14"/>
  <c r="S594" i="14"/>
  <c r="T559" i="14"/>
  <c r="U555" i="14"/>
  <c r="R97" i="9"/>
  <c r="Q727" i="14"/>
  <c r="C354" i="14"/>
  <c r="I321" i="14"/>
  <c r="L391" i="14"/>
  <c r="R43" i="9"/>
  <c r="Q214" i="14"/>
  <c r="C168" i="14"/>
  <c r="C251" i="14"/>
  <c r="C167" i="14"/>
  <c r="C165" i="14"/>
  <c r="Q265" i="21"/>
  <c r="Q267" i="21"/>
  <c r="Q228" i="21"/>
  <c r="Q248" i="20"/>
  <c r="Q269" i="20"/>
  <c r="Q271" i="20"/>
  <c r="R727" i="21"/>
  <c r="R727" i="20"/>
  <c r="T242" i="21"/>
  <c r="T242" i="20"/>
  <c r="R764" i="21"/>
  <c r="R741" i="21"/>
  <c r="R463" i="21"/>
  <c r="R596" i="21"/>
  <c r="R657" i="21"/>
  <c r="R605" i="21"/>
  <c r="R426" i="21"/>
  <c r="R332" i="21"/>
  <c r="R294" i="21"/>
  <c r="R206" i="21"/>
  <c r="R512" i="21"/>
  <c r="R94" i="21"/>
  <c r="R187" i="21"/>
  <c r="R149" i="21"/>
  <c r="R596" i="20"/>
  <c r="R657" i="20"/>
  <c r="R332" i="20"/>
  <c r="R764" i="20"/>
  <c r="R512" i="20"/>
  <c r="R741" i="20"/>
  <c r="R463" i="20"/>
  <c r="R113" i="21"/>
  <c r="R605" i="20"/>
  <c r="R426" i="20"/>
  <c r="R294" i="20"/>
  <c r="R206" i="20"/>
  <c r="R113" i="20"/>
  <c r="R94" i="20"/>
  <c r="R187" i="20"/>
  <c r="R149" i="20"/>
  <c r="O259" i="20"/>
  <c r="O263" i="20"/>
  <c r="O284" i="20"/>
  <c r="O316" i="20"/>
  <c r="Q257" i="21"/>
  <c r="Q273" i="21"/>
  <c r="Q275" i="21"/>
  <c r="P257" i="21"/>
  <c r="P273" i="21"/>
  <c r="P275" i="21"/>
  <c r="R670" i="21"/>
  <c r="R670" i="20"/>
  <c r="S233" i="21"/>
  <c r="S233" i="20"/>
  <c r="R668" i="21"/>
  <c r="R668" i="20"/>
  <c r="R683" i="21"/>
  <c r="R683" i="20"/>
  <c r="S672" i="21"/>
  <c r="S672" i="20"/>
  <c r="R218" i="21"/>
  <c r="R218" i="20"/>
  <c r="O324" i="21"/>
  <c r="O687" i="21"/>
  <c r="O689" i="21"/>
  <c r="Q678" i="20"/>
  <c r="R238" i="21"/>
  <c r="R245" i="21"/>
  <c r="R246" i="21"/>
  <c r="R238" i="20"/>
  <c r="R245" i="20"/>
  <c r="R246" i="20"/>
  <c r="R238" i="14"/>
  <c r="R245" i="14"/>
  <c r="R246" i="14"/>
  <c r="S58" i="9"/>
  <c r="R253" i="21"/>
  <c r="R254" i="21"/>
  <c r="R255" i="21"/>
  <c r="R253" i="20"/>
  <c r="R254" i="20"/>
  <c r="R255" i="20"/>
  <c r="R667" i="20"/>
  <c r="R667" i="21"/>
  <c r="R217" i="21"/>
  <c r="R216" i="21"/>
  <c r="R219" i="21"/>
  <c r="R220" i="21"/>
  <c r="R221" i="21"/>
  <c r="R226" i="21"/>
  <c r="R217" i="20"/>
  <c r="R217" i="14"/>
  <c r="S46" i="9"/>
  <c r="Q302" i="21"/>
  <c r="Q303" i="21"/>
  <c r="Q317" i="21"/>
  <c r="Q326" i="21"/>
  <c r="Q682" i="21"/>
  <c r="Q684" i="21"/>
  <c r="Q269" i="21"/>
  <c r="Q271" i="21"/>
  <c r="Q248" i="21"/>
  <c r="Q283" i="21"/>
  <c r="Q315" i="21"/>
  <c r="K706" i="21"/>
  <c r="K328" i="21"/>
  <c r="K330" i="21"/>
  <c r="Q678" i="21"/>
  <c r="N325" i="21"/>
  <c r="N692" i="21"/>
  <c r="N694" i="21"/>
  <c r="N696" i="21"/>
  <c r="N318" i="21"/>
  <c r="N652" i="21"/>
  <c r="P257" i="20"/>
  <c r="P273" i="20"/>
  <c r="P275" i="20"/>
  <c r="R289" i="21"/>
  <c r="R290" i="21"/>
  <c r="R292" i="21"/>
  <c r="R289" i="20"/>
  <c r="R290" i="20"/>
  <c r="R292" i="20"/>
  <c r="R302" i="20"/>
  <c r="R254" i="14"/>
  <c r="S68" i="9"/>
  <c r="P283" i="21"/>
  <c r="P315" i="21"/>
  <c r="R216" i="20"/>
  <c r="R219" i="20"/>
  <c r="R220" i="20"/>
  <c r="R221" i="20"/>
  <c r="R226" i="20"/>
  <c r="R675" i="21"/>
  <c r="R675" i="20"/>
  <c r="R675" i="14"/>
  <c r="S84" i="9"/>
  <c r="S236" i="21"/>
  <c r="S236" i="20"/>
  <c r="T237" i="21"/>
  <c r="T237" i="20"/>
  <c r="R669" i="21"/>
  <c r="R669" i="20"/>
  <c r="R674" i="21"/>
  <c r="R674" i="20"/>
  <c r="S240" i="21"/>
  <c r="S240" i="20"/>
  <c r="S234" i="21"/>
  <c r="S234" i="20"/>
  <c r="S732" i="21"/>
  <c r="S732" i="20"/>
  <c r="R726" i="21"/>
  <c r="R726" i="20"/>
  <c r="Q756" i="14"/>
  <c r="Q756" i="21"/>
  <c r="Q756" i="20"/>
  <c r="R671" i="21"/>
  <c r="R671" i="20"/>
  <c r="S235" i="21"/>
  <c r="S235" i="20"/>
  <c r="S239" i="21"/>
  <c r="S239" i="20"/>
  <c r="R688" i="21"/>
  <c r="R688" i="20"/>
  <c r="S90" i="9"/>
  <c r="R688" i="14"/>
  <c r="S693" i="21"/>
  <c r="S693" i="20"/>
  <c r="R243" i="21"/>
  <c r="R243" i="20"/>
  <c r="R214" i="21"/>
  <c r="R214" i="20"/>
  <c r="R755" i="21"/>
  <c r="R755" i="20"/>
  <c r="S241" i="21"/>
  <c r="S241" i="20"/>
  <c r="S215" i="21"/>
  <c r="S215" i="20"/>
  <c r="S95" i="21"/>
  <c r="S95" i="20"/>
  <c r="S223" i="21"/>
  <c r="S224" i="21"/>
  <c r="S223" i="20"/>
  <c r="O284" i="21"/>
  <c r="O316" i="21"/>
  <c r="O325" i="21"/>
  <c r="O692" i="21"/>
  <c r="O694" i="21"/>
  <c r="O259" i="21"/>
  <c r="O263" i="21"/>
  <c r="R673" i="21"/>
  <c r="R673" i="20"/>
  <c r="R673" i="14"/>
  <c r="S82" i="9"/>
  <c r="Q255" i="20"/>
  <c r="W100" i="21"/>
  <c r="V227" i="21"/>
  <c r="V676" i="21"/>
  <c r="V677" i="21"/>
  <c r="Y103" i="21"/>
  <c r="X291" i="21"/>
  <c r="Y256" i="21"/>
  <c r="Z102" i="21"/>
  <c r="V320" i="21"/>
  <c r="W98" i="21"/>
  <c r="V642" i="21"/>
  <c r="V357" i="21"/>
  <c r="V359" i="21"/>
  <c r="V648" i="21"/>
  <c r="V738" i="21"/>
  <c r="V697" i="21"/>
  <c r="AA101" i="21"/>
  <c r="Z247" i="21"/>
  <c r="X108" i="21"/>
  <c r="W274" i="21"/>
  <c r="U766" i="21"/>
  <c r="U745" i="21"/>
  <c r="W270" i="21"/>
  <c r="X107" i="21"/>
  <c r="X266" i="21"/>
  <c r="Y106" i="21"/>
  <c r="X103" i="20"/>
  <c r="W291" i="20"/>
  <c r="X256" i="20"/>
  <c r="Y102" i="20"/>
  <c r="Y676" i="20"/>
  <c r="Y677" i="20"/>
  <c r="Z100" i="20"/>
  <c r="Y227" i="20"/>
  <c r="Y247" i="20"/>
  <c r="Z101" i="20"/>
  <c r="S195" i="21"/>
  <c r="S618" i="21"/>
  <c r="S296" i="21"/>
  <c r="T301" i="21"/>
  <c r="T204" i="21"/>
  <c r="T632" i="21"/>
  <c r="U654" i="21"/>
  <c r="U655" i="21"/>
  <c r="U181" i="21"/>
  <c r="R638" i="21"/>
  <c r="V170" i="21"/>
  <c r="W165" i="21"/>
  <c r="V166" i="21"/>
  <c r="K744" i="21"/>
  <c r="K765" i="21"/>
  <c r="H651" i="21"/>
  <c r="X551" i="21"/>
  <c r="Y545" i="21"/>
  <c r="T654" i="21"/>
  <c r="T181" i="21"/>
  <c r="T185" i="21"/>
  <c r="H711" i="21"/>
  <c r="Q640" i="21"/>
  <c r="Q664" i="21"/>
  <c r="O684" i="21"/>
  <c r="V629" i="21"/>
  <c r="V631" i="21"/>
  <c r="W611" i="21"/>
  <c r="V615" i="21"/>
  <c r="V617" i="21"/>
  <c r="J744" i="21"/>
  <c r="J765" i="21"/>
  <c r="U167" i="21"/>
  <c r="T191" i="21"/>
  <c r="U172" i="21"/>
  <c r="U183" i="21"/>
  <c r="U212" i="21"/>
  <c r="U168" i="21"/>
  <c r="M321" i="21"/>
  <c r="L310" i="21"/>
  <c r="M708" i="21"/>
  <c r="M649" i="21"/>
  <c r="M646" i="21"/>
  <c r="T575" i="21"/>
  <c r="C574" i="21"/>
  <c r="C575" i="21"/>
  <c r="N388" i="21"/>
  <c r="N390" i="21"/>
  <c r="Q324" i="21"/>
  <c r="Q687" i="21"/>
  <c r="Q689" i="21"/>
  <c r="Y469" i="21"/>
  <c r="X628" i="21"/>
  <c r="Y517" i="21"/>
  <c r="X519" i="21"/>
  <c r="J330" i="21"/>
  <c r="X483" i="21"/>
  <c r="W540" i="21"/>
  <c r="AA614" i="21"/>
  <c r="U541" i="21"/>
  <c r="V539" i="21"/>
  <c r="Z434" i="21"/>
  <c r="Z440" i="21"/>
  <c r="Z453" i="21"/>
  <c r="AA433" i="21"/>
  <c r="J711" i="21"/>
  <c r="T192" i="21"/>
  <c r="N297" i="21"/>
  <c r="N298" i="21"/>
  <c r="N306" i="21"/>
  <c r="V498" i="21"/>
  <c r="U501" i="21"/>
  <c r="U503" i="21"/>
  <c r="X475" i="21"/>
  <c r="W477" i="21"/>
  <c r="T492" i="21"/>
  <c r="T494" i="21"/>
  <c r="T509" i="21"/>
  <c r="O640" i="21"/>
  <c r="O664" i="21"/>
  <c r="T251" i="21"/>
  <c r="V471" i="21"/>
  <c r="U473" i="21"/>
  <c r="U479" i="21"/>
  <c r="O277" i="21"/>
  <c r="O280" i="21"/>
  <c r="O282" i="21"/>
  <c r="O313" i="21"/>
  <c r="O323" i="21"/>
  <c r="O663" i="21"/>
  <c r="O665" i="21"/>
  <c r="O679" i="21"/>
  <c r="V287" i="21"/>
  <c r="U200" i="21"/>
  <c r="R622" i="21"/>
  <c r="R619" i="21"/>
  <c r="R624" i="21"/>
  <c r="N746" i="21"/>
  <c r="N767" i="21"/>
  <c r="AA531" i="21"/>
  <c r="Z533" i="21"/>
  <c r="K416" i="21"/>
  <c r="X559" i="21"/>
  <c r="Y555" i="21"/>
  <c r="P640" i="21"/>
  <c r="P664" i="21"/>
  <c r="U373" i="21"/>
  <c r="T385" i="21"/>
  <c r="T389" i="21"/>
  <c r="T377" i="21"/>
  <c r="T378" i="21"/>
  <c r="T404" i="21"/>
  <c r="T408" i="21"/>
  <c r="S636" i="21"/>
  <c r="S633" i="21"/>
  <c r="S638" i="21"/>
  <c r="U201" i="21"/>
  <c r="V179" i="21"/>
  <c r="V184" i="21"/>
  <c r="M665" i="21"/>
  <c r="T231" i="21"/>
  <c r="D731" i="21"/>
  <c r="D728" i="21"/>
  <c r="L407" i="21"/>
  <c r="L409" i="21"/>
  <c r="V529" i="21"/>
  <c r="V535" i="21"/>
  <c r="W527" i="21"/>
  <c r="X523" i="21"/>
  <c r="X525" i="21"/>
  <c r="Y521" i="21"/>
  <c r="I744" i="21"/>
  <c r="I765" i="21"/>
  <c r="X177" i="21"/>
  <c r="W178" i="21"/>
  <c r="U484" i="21"/>
  <c r="V482" i="21"/>
  <c r="E721" i="21"/>
  <c r="E720" i="21"/>
  <c r="F718" i="21"/>
  <c r="F719" i="21"/>
  <c r="Y458" i="21"/>
  <c r="Y460" i="21"/>
  <c r="K407" i="20"/>
  <c r="K409" i="20"/>
  <c r="V270" i="20"/>
  <c r="W107" i="20"/>
  <c r="X274" i="20"/>
  <c r="Y108" i="20"/>
  <c r="W266" i="20"/>
  <c r="X106" i="20"/>
  <c r="V766" i="20"/>
  <c r="V745" i="20"/>
  <c r="W642" i="20"/>
  <c r="W320" i="20"/>
  <c r="W738" i="20"/>
  <c r="W648" i="20"/>
  <c r="X98" i="20"/>
  <c r="W357" i="20"/>
  <c r="W359" i="20"/>
  <c r="W697" i="20"/>
  <c r="T510" i="20"/>
  <c r="N643" i="20"/>
  <c r="N329" i="20"/>
  <c r="N641" i="20"/>
  <c r="N645" i="20"/>
  <c r="R269" i="20"/>
  <c r="R271" i="20"/>
  <c r="R248" i="20"/>
  <c r="L698" i="20"/>
  <c r="L651" i="20"/>
  <c r="L653" i="20"/>
  <c r="L655" i="20"/>
  <c r="L709" i="20"/>
  <c r="R273" i="20"/>
  <c r="R275" i="20"/>
  <c r="R257" i="20"/>
  <c r="W539" i="20"/>
  <c r="V541" i="20"/>
  <c r="O624" i="20"/>
  <c r="X614" i="20"/>
  <c r="W617" i="20"/>
  <c r="Q622" i="20"/>
  <c r="Q619" i="20"/>
  <c r="P324" i="20"/>
  <c r="P687" i="20"/>
  <c r="P689" i="20"/>
  <c r="W434" i="20"/>
  <c r="W440" i="20"/>
  <c r="W453" i="20"/>
  <c r="S654" i="20"/>
  <c r="S181" i="20"/>
  <c r="V177" i="20"/>
  <c r="U178" i="20"/>
  <c r="V473" i="20"/>
  <c r="W471" i="20"/>
  <c r="K410" i="20"/>
  <c r="K411" i="20"/>
  <c r="K414" i="20"/>
  <c r="K416" i="20"/>
  <c r="K710" i="20"/>
  <c r="Q636" i="20"/>
  <c r="Q633" i="20"/>
  <c r="V458" i="20"/>
  <c r="V460" i="20"/>
  <c r="P622" i="20"/>
  <c r="P619" i="20"/>
  <c r="Z628" i="20"/>
  <c r="O638" i="20"/>
  <c r="M698" i="20"/>
  <c r="M709" i="20"/>
  <c r="V373" i="20"/>
  <c r="U385" i="20"/>
  <c r="U389" i="20"/>
  <c r="U377" i="20"/>
  <c r="U378" i="20"/>
  <c r="U414" i="20"/>
  <c r="U416" i="20"/>
  <c r="U710" i="20"/>
  <c r="U404" i="20"/>
  <c r="U408" i="20"/>
  <c r="S231" i="20"/>
  <c r="V484" i="20"/>
  <c r="W482" i="20"/>
  <c r="AA517" i="20"/>
  <c r="Z519" i="20"/>
  <c r="M298" i="20"/>
  <c r="M306" i="20"/>
  <c r="M297" i="20"/>
  <c r="O277" i="20"/>
  <c r="O280" i="20"/>
  <c r="O282" i="20"/>
  <c r="O313" i="20"/>
  <c r="O323" i="20"/>
  <c r="O663" i="20"/>
  <c r="S251" i="20"/>
  <c r="R296" i="20"/>
  <c r="R195" i="20"/>
  <c r="R618" i="20"/>
  <c r="T575" i="20"/>
  <c r="C574" i="20"/>
  <c r="C575" i="20"/>
  <c r="R185" i="20"/>
  <c r="D728" i="20"/>
  <c r="D731" i="20"/>
  <c r="N277" i="20"/>
  <c r="N280" i="20"/>
  <c r="N282" i="20"/>
  <c r="N313" i="20"/>
  <c r="N323" i="20"/>
  <c r="N663" i="20"/>
  <c r="N665" i="20"/>
  <c r="N679" i="20"/>
  <c r="N696" i="20"/>
  <c r="R201" i="20"/>
  <c r="W469" i="20"/>
  <c r="S172" i="20"/>
  <c r="S183" i="20"/>
  <c r="E721" i="20"/>
  <c r="E720" i="20"/>
  <c r="F718" i="20"/>
  <c r="F719" i="20"/>
  <c r="K767" i="20"/>
  <c r="K746" i="20"/>
  <c r="K651" i="20"/>
  <c r="K653" i="20"/>
  <c r="K655" i="20"/>
  <c r="W529" i="20"/>
  <c r="X527" i="20"/>
  <c r="L321" i="20"/>
  <c r="K310" i="20"/>
  <c r="Q265" i="20"/>
  <c r="Q267" i="20"/>
  <c r="Q228" i="20"/>
  <c r="S224" i="20"/>
  <c r="W521" i="20"/>
  <c r="V523" i="20"/>
  <c r="V525" i="20"/>
  <c r="K706" i="20"/>
  <c r="K328" i="20"/>
  <c r="K330" i="20"/>
  <c r="T168" i="20"/>
  <c r="S191" i="20"/>
  <c r="T167" i="20"/>
  <c r="T212" i="20"/>
  <c r="Y501" i="20"/>
  <c r="Y503" i="20"/>
  <c r="Z498" i="20"/>
  <c r="S192" i="20"/>
  <c r="U477" i="20"/>
  <c r="U479" i="20"/>
  <c r="U492" i="20"/>
  <c r="U494" i="20"/>
  <c r="U509" i="20"/>
  <c r="V475" i="20"/>
  <c r="X615" i="20"/>
  <c r="Y611" i="20"/>
  <c r="X629" i="20"/>
  <c r="X631" i="20"/>
  <c r="L767" i="20"/>
  <c r="L746" i="20"/>
  <c r="P636" i="20"/>
  <c r="P633" i="20"/>
  <c r="P638" i="20"/>
  <c r="Y551" i="20"/>
  <c r="Z545" i="20"/>
  <c r="M708" i="20"/>
  <c r="M649" i="20"/>
  <c r="M646" i="20"/>
  <c r="Y559" i="20"/>
  <c r="Z555" i="20"/>
  <c r="Q283" i="20"/>
  <c r="Q315" i="20"/>
  <c r="V165" i="20"/>
  <c r="U166" i="20"/>
  <c r="F653" i="20"/>
  <c r="V531" i="20"/>
  <c r="U533" i="20"/>
  <c r="U535" i="20"/>
  <c r="J706" i="20"/>
  <c r="J328" i="20"/>
  <c r="R228" i="20"/>
  <c r="R265" i="20"/>
  <c r="R267" i="20"/>
  <c r="W540" i="20"/>
  <c r="X483" i="20"/>
  <c r="J311" i="20"/>
  <c r="I311" i="20"/>
  <c r="J679" i="20"/>
  <c r="T287" i="20"/>
  <c r="S200" i="20"/>
  <c r="S201" i="20"/>
  <c r="N388" i="20"/>
  <c r="N390" i="20"/>
  <c r="Q640" i="14"/>
  <c r="C9" i="14"/>
  <c r="T195" i="14"/>
  <c r="T618" i="14"/>
  <c r="T622" i="14"/>
  <c r="O640" i="14"/>
  <c r="T301" i="14"/>
  <c r="C201" i="14"/>
  <c r="C301" i="14"/>
  <c r="R301" i="14"/>
  <c r="V291" i="14"/>
  <c r="V184" i="14"/>
  <c r="Q492" i="14"/>
  <c r="Q494" i="14"/>
  <c r="Q509" i="14"/>
  <c r="Q510" i="14"/>
  <c r="T676" i="14"/>
  <c r="T677" i="14"/>
  <c r="T227" i="14"/>
  <c r="T181" i="14"/>
  <c r="C654" i="14"/>
  <c r="S738" i="14"/>
  <c r="S648" i="14"/>
  <c r="S320" i="14"/>
  <c r="S697" i="14"/>
  <c r="S642" i="14"/>
  <c r="S357" i="14"/>
  <c r="S359" i="14"/>
  <c r="R484" i="14"/>
  <c r="S483" i="14"/>
  <c r="R540" i="14"/>
  <c r="R541" i="14"/>
  <c r="R574" i="14"/>
  <c r="R575" i="14"/>
  <c r="R745" i="14"/>
  <c r="R766" i="14"/>
  <c r="T531" i="14"/>
  <c r="S533" i="14"/>
  <c r="S535" i="14"/>
  <c r="S629" i="14"/>
  <c r="T611" i="14"/>
  <c r="S615" i="14"/>
  <c r="S617" i="14"/>
  <c r="J311" i="14"/>
  <c r="J744" i="14"/>
  <c r="S628" i="14"/>
  <c r="R631" i="14"/>
  <c r="O318" i="14"/>
  <c r="O652" i="14"/>
  <c r="R102" i="9"/>
  <c r="R726" i="14"/>
  <c r="S96" i="9"/>
  <c r="S47" i="9"/>
  <c r="R218" i="14"/>
  <c r="S36" i="9"/>
  <c r="R206" i="14"/>
  <c r="R113" i="14"/>
  <c r="R657" i="14"/>
  <c r="R512" i="14"/>
  <c r="R463" i="14"/>
  <c r="R332" i="14"/>
  <c r="R426" i="14"/>
  <c r="R294" i="14"/>
  <c r="R94" i="14"/>
  <c r="R596" i="14"/>
  <c r="R149" i="14"/>
  <c r="R187" i="14"/>
  <c r="R741" i="14"/>
  <c r="R764" i="14"/>
  <c r="R605" i="14"/>
  <c r="S83" i="9"/>
  <c r="R674" i="14"/>
  <c r="T37" i="9"/>
  <c r="S95" i="14"/>
  <c r="S101" i="9"/>
  <c r="R755" i="14"/>
  <c r="T49" i="9"/>
  <c r="S223" i="14"/>
  <c r="S224" i="14"/>
  <c r="T98" i="9"/>
  <c r="S732" i="14"/>
  <c r="T53" i="9"/>
  <c r="S233" i="14"/>
  <c r="Q228" i="14"/>
  <c r="Q265" i="14"/>
  <c r="Q267" i="14"/>
  <c r="L392" i="14"/>
  <c r="I410" i="14"/>
  <c r="M694" i="14"/>
  <c r="K706" i="14"/>
  <c r="K328" i="14"/>
  <c r="K330" i="14"/>
  <c r="T539" i="14"/>
  <c r="R274" i="14"/>
  <c r="U559" i="14"/>
  <c r="V555" i="14"/>
  <c r="N277" i="14"/>
  <c r="N280" i="14"/>
  <c r="N282" i="14"/>
  <c r="N313" i="14"/>
  <c r="N323" i="14"/>
  <c r="N663" i="14"/>
  <c r="X433" i="14"/>
  <c r="W434" i="14"/>
  <c r="W440" i="14"/>
  <c r="W453" i="14"/>
  <c r="T55" i="9"/>
  <c r="S235" i="14"/>
  <c r="T59" i="9"/>
  <c r="S239" i="14"/>
  <c r="Y580" i="14"/>
  <c r="X581" i="14"/>
  <c r="X587" i="14"/>
  <c r="X593" i="14"/>
  <c r="T237" i="14"/>
  <c r="U57" i="9"/>
  <c r="S266" i="14"/>
  <c r="P326" i="14"/>
  <c r="S80" i="9"/>
  <c r="R671" i="14"/>
  <c r="M388" i="14"/>
  <c r="M390" i="14"/>
  <c r="T61" i="9"/>
  <c r="S241" i="14"/>
  <c r="H321" i="14"/>
  <c r="G310" i="14"/>
  <c r="J706" i="14"/>
  <c r="J328" i="14"/>
  <c r="J330" i="14"/>
  <c r="S256" i="14"/>
  <c r="V458" i="14"/>
  <c r="V460" i="14"/>
  <c r="S472" i="14"/>
  <c r="R473" i="14"/>
  <c r="R479" i="14"/>
  <c r="T377" i="14"/>
  <c r="T378" i="14"/>
  <c r="U373" i="14"/>
  <c r="U404" i="14"/>
  <c r="U408" i="14"/>
  <c r="T385" i="14"/>
  <c r="T389" i="14"/>
  <c r="T404" i="14"/>
  <c r="T408" i="14"/>
  <c r="S63" i="9"/>
  <c r="R243" i="14"/>
  <c r="U614" i="14"/>
  <c r="U475" i="14"/>
  <c r="T477" i="14"/>
  <c r="N624" i="14"/>
  <c r="G708" i="14"/>
  <c r="G649" i="14"/>
  <c r="G646" i="14"/>
  <c r="Q329" i="14"/>
  <c r="Q643" i="14"/>
  <c r="Q641" i="14"/>
  <c r="T44" i="9"/>
  <c r="S215" i="14"/>
  <c r="P329" i="14"/>
  <c r="P643" i="14"/>
  <c r="P641" i="14"/>
  <c r="U529" i="14"/>
  <c r="V527" i="14"/>
  <c r="C356" i="14"/>
  <c r="P284" i="14"/>
  <c r="P316" i="14"/>
  <c r="X517" i="14"/>
  <c r="W519" i="14"/>
  <c r="S693" i="14"/>
  <c r="T93" i="9"/>
  <c r="R683" i="14"/>
  <c r="S87" i="9"/>
  <c r="G679" i="14"/>
  <c r="S234" i="14"/>
  <c r="T54" i="9"/>
  <c r="H665" i="14"/>
  <c r="H679" i="14"/>
  <c r="H696" i="14"/>
  <c r="R216" i="14"/>
  <c r="R219" i="14"/>
  <c r="R220" i="14"/>
  <c r="R221" i="14"/>
  <c r="R226" i="14"/>
  <c r="S45" i="9"/>
  <c r="U419" i="14"/>
  <c r="R253" i="14"/>
  <c r="R255" i="14"/>
  <c r="S67" i="9"/>
  <c r="S183" i="14"/>
  <c r="S185" i="14"/>
  <c r="P259" i="14"/>
  <c r="T270" i="14"/>
  <c r="R618" i="14"/>
  <c r="R632" i="14"/>
  <c r="C204" i="14"/>
  <c r="S43" i="9"/>
  <c r="R214" i="14"/>
  <c r="L321" i="14"/>
  <c r="K310" i="14"/>
  <c r="K311" i="14"/>
  <c r="T498" i="14"/>
  <c r="S501" i="14"/>
  <c r="S503" i="14"/>
  <c r="S507" i="14"/>
  <c r="R289" i="14"/>
  <c r="R290" i="14"/>
  <c r="R292" i="14"/>
  <c r="S71" i="9"/>
  <c r="H414" i="14"/>
  <c r="P645" i="14"/>
  <c r="C401" i="14"/>
  <c r="U62" i="9"/>
  <c r="T242" i="14"/>
  <c r="D721" i="14"/>
  <c r="D720" i="14"/>
  <c r="E718" i="14"/>
  <c r="E719" i="14"/>
  <c r="T551" i="14"/>
  <c r="U545" i="14"/>
  <c r="R669" i="14"/>
  <c r="S78" i="9"/>
  <c r="T81" i="9"/>
  <c r="S672" i="14"/>
  <c r="C402" i="14"/>
  <c r="T60" i="9"/>
  <c r="S240" i="14"/>
  <c r="O263" i="14"/>
  <c r="O643" i="14"/>
  <c r="O329" i="14"/>
  <c r="O641" i="14"/>
  <c r="O645" i="14"/>
  <c r="M323" i="14"/>
  <c r="N638" i="14"/>
  <c r="S195" i="14"/>
  <c r="S618" i="14"/>
  <c r="S622" i="14"/>
  <c r="S296" i="14"/>
  <c r="C296" i="14"/>
  <c r="C192" i="14"/>
  <c r="S76" i="9"/>
  <c r="R667" i="14"/>
  <c r="S79" i="9"/>
  <c r="R670" i="14"/>
  <c r="M298" i="14"/>
  <c r="M297" i="14"/>
  <c r="Q678" i="14"/>
  <c r="S236" i="14"/>
  <c r="T56" i="9"/>
  <c r="S97" i="9"/>
  <c r="R727" i="14"/>
  <c r="I706" i="14"/>
  <c r="I328" i="14"/>
  <c r="I330" i="14"/>
  <c r="Q273" i="14"/>
  <c r="Q275" i="14"/>
  <c r="Q257" i="14"/>
  <c r="H310" i="14"/>
  <c r="I311" i="14"/>
  <c r="F709" i="14"/>
  <c r="F698" i="14"/>
  <c r="Q269" i="14"/>
  <c r="Q271" i="14"/>
  <c r="Q248" i="14"/>
  <c r="W471" i="14"/>
  <c r="Q302" i="14"/>
  <c r="Q303" i="14"/>
  <c r="Q317" i="14"/>
  <c r="Q326" i="14"/>
  <c r="Q682" i="14"/>
  <c r="Q684" i="14"/>
  <c r="M684" i="14"/>
  <c r="T247" i="14"/>
  <c r="T182" i="14"/>
  <c r="R668" i="14"/>
  <c r="S77" i="9"/>
  <c r="W521" i="14"/>
  <c r="V523" i="14"/>
  <c r="V525" i="14"/>
  <c r="R265" i="21"/>
  <c r="R267" i="21"/>
  <c r="R228" i="21"/>
  <c r="R248" i="21"/>
  <c r="R269" i="21"/>
  <c r="R271" i="21"/>
  <c r="N698" i="21"/>
  <c r="N651" i="21"/>
  <c r="N653" i="21"/>
  <c r="N655" i="21"/>
  <c r="N709" i="21"/>
  <c r="T233" i="21"/>
  <c r="T233" i="20"/>
  <c r="S667" i="21"/>
  <c r="S667" i="20"/>
  <c r="U242" i="21"/>
  <c r="U242" i="20"/>
  <c r="Q273" i="20"/>
  <c r="Q275" i="20"/>
  <c r="Q257" i="20"/>
  <c r="Q284" i="20"/>
  <c r="Q316" i="20"/>
  <c r="Q325" i="20"/>
  <c r="Q692" i="20"/>
  <c r="Q694" i="20"/>
  <c r="S243" i="21"/>
  <c r="S243" i="20"/>
  <c r="S673" i="21"/>
  <c r="S673" i="20"/>
  <c r="S673" i="14"/>
  <c r="T82" i="9"/>
  <c r="T239" i="21"/>
  <c r="T239" i="20"/>
  <c r="S254" i="21"/>
  <c r="S254" i="20"/>
  <c r="S254" i="14"/>
  <c r="T68" i="9"/>
  <c r="S214" i="21"/>
  <c r="S214" i="20"/>
  <c r="R257" i="21"/>
  <c r="R273" i="21"/>
  <c r="R275" i="21"/>
  <c r="P284" i="21"/>
  <c r="P316" i="21"/>
  <c r="P325" i="21"/>
  <c r="P692" i="21"/>
  <c r="P694" i="21"/>
  <c r="P259" i="21"/>
  <c r="P263" i="21"/>
  <c r="P277" i="21"/>
  <c r="P280" i="21"/>
  <c r="T241" i="21"/>
  <c r="T241" i="20"/>
  <c r="T234" i="21"/>
  <c r="T234" i="20"/>
  <c r="S238" i="21"/>
  <c r="S238" i="20"/>
  <c r="S245" i="20"/>
  <c r="S246" i="20"/>
  <c r="S238" i="14"/>
  <c r="T58" i="9"/>
  <c r="S755" i="21"/>
  <c r="S755" i="20"/>
  <c r="S218" i="21"/>
  <c r="S218" i="20"/>
  <c r="Q284" i="21"/>
  <c r="Q316" i="21"/>
  <c r="T732" i="21"/>
  <c r="T732" i="20"/>
  <c r="S741" i="21"/>
  <c r="S463" i="21"/>
  <c r="S596" i="21"/>
  <c r="S657" i="21"/>
  <c r="S426" i="21"/>
  <c r="S332" i="21"/>
  <c r="S294" i="21"/>
  <c r="S764" i="21"/>
  <c r="S605" i="21"/>
  <c r="S149" i="21"/>
  <c r="S94" i="21"/>
  <c r="S206" i="21"/>
  <c r="S764" i="20"/>
  <c r="S512" i="21"/>
  <c r="S187" i="21"/>
  <c r="S657" i="20"/>
  <c r="S332" i="20"/>
  <c r="S741" i="20"/>
  <c r="S512" i="20"/>
  <c r="S596" i="20"/>
  <c r="S463" i="20"/>
  <c r="S113" i="21"/>
  <c r="S605" i="20"/>
  <c r="S426" i="20"/>
  <c r="S294" i="20"/>
  <c r="S206" i="20"/>
  <c r="S113" i="20"/>
  <c r="S187" i="20"/>
  <c r="S94" i="20"/>
  <c r="S149" i="20"/>
  <c r="S671" i="21"/>
  <c r="S671" i="20"/>
  <c r="S726" i="21"/>
  <c r="S726" i="20"/>
  <c r="R678" i="20"/>
  <c r="O325" i="20"/>
  <c r="O692" i="20"/>
  <c r="O694" i="20"/>
  <c r="O318" i="20"/>
  <c r="O652" i="20"/>
  <c r="T236" i="21"/>
  <c r="T236" i="20"/>
  <c r="S289" i="21"/>
  <c r="S290" i="21"/>
  <c r="S292" i="21"/>
  <c r="S289" i="20"/>
  <c r="S290" i="20"/>
  <c r="S292" i="20"/>
  <c r="S302" i="20"/>
  <c r="T95" i="21"/>
  <c r="T95" i="20"/>
  <c r="R302" i="21"/>
  <c r="R303" i="21"/>
  <c r="R317" i="21"/>
  <c r="R326" i="21"/>
  <c r="R682" i="21"/>
  <c r="R684" i="21"/>
  <c r="R678" i="21"/>
  <c r="P324" i="21"/>
  <c r="P687" i="21"/>
  <c r="P689" i="21"/>
  <c r="T672" i="21"/>
  <c r="T672" i="20"/>
  <c r="S669" i="20"/>
  <c r="S669" i="21"/>
  <c r="T235" i="21"/>
  <c r="T235" i="20"/>
  <c r="S253" i="21"/>
  <c r="S255" i="21"/>
  <c r="S253" i="20"/>
  <c r="S255" i="20"/>
  <c r="S273" i="20"/>
  <c r="S275" i="20"/>
  <c r="R756" i="14"/>
  <c r="R756" i="21"/>
  <c r="R756" i="20"/>
  <c r="S245" i="21"/>
  <c r="S246" i="21"/>
  <c r="S675" i="21"/>
  <c r="S675" i="20"/>
  <c r="S675" i="14"/>
  <c r="T84" i="9"/>
  <c r="S217" i="21"/>
  <c r="S216" i="21"/>
  <c r="S219" i="21"/>
  <c r="S220" i="21"/>
  <c r="S221" i="21"/>
  <c r="S226" i="21"/>
  <c r="S217" i="20"/>
  <c r="S216" i="20"/>
  <c r="S219" i="20"/>
  <c r="S220" i="20"/>
  <c r="S221" i="20"/>
  <c r="S226" i="20"/>
  <c r="T46" i="9"/>
  <c r="S217" i="14"/>
  <c r="T215" i="21"/>
  <c r="T215" i="20"/>
  <c r="S683" i="21"/>
  <c r="S683" i="20"/>
  <c r="S668" i="21"/>
  <c r="S668" i="20"/>
  <c r="U237" i="21"/>
  <c r="U237" i="20"/>
  <c r="S674" i="21"/>
  <c r="S674" i="20"/>
  <c r="P284" i="20"/>
  <c r="P316" i="20"/>
  <c r="P259" i="20"/>
  <c r="P263" i="20"/>
  <c r="P277" i="20"/>
  <c r="P280" i="20"/>
  <c r="Q259" i="21"/>
  <c r="Q263" i="21"/>
  <c r="T240" i="21"/>
  <c r="T240" i="20"/>
  <c r="S688" i="21"/>
  <c r="S688" i="20"/>
  <c r="T90" i="9"/>
  <c r="S688" i="14"/>
  <c r="S727" i="21"/>
  <c r="S727" i="20"/>
  <c r="T223" i="21"/>
  <c r="T224" i="21"/>
  <c r="T223" i="20"/>
  <c r="T693" i="21"/>
  <c r="T693" i="20"/>
  <c r="S670" i="21"/>
  <c r="S670" i="20"/>
  <c r="O318" i="21"/>
  <c r="O652" i="21"/>
  <c r="X100" i="21"/>
  <c r="W227" i="21"/>
  <c r="W676" i="21"/>
  <c r="W677" i="21"/>
  <c r="X270" i="21"/>
  <c r="Y107" i="21"/>
  <c r="V766" i="21"/>
  <c r="V745" i="21"/>
  <c r="W320" i="21"/>
  <c r="X98" i="21"/>
  <c r="W642" i="21"/>
  <c r="W357" i="21"/>
  <c r="W359" i="21"/>
  <c r="W648" i="21"/>
  <c r="W738" i="21"/>
  <c r="W697" i="21"/>
  <c r="Y108" i="21"/>
  <c r="X274" i="21"/>
  <c r="Z256" i="21"/>
  <c r="AA102" i="21"/>
  <c r="AB101" i="21"/>
  <c r="AA247" i="21"/>
  <c r="Z106" i="21"/>
  <c r="Y266" i="21"/>
  <c r="Z103" i="21"/>
  <c r="Y291" i="21"/>
  <c r="Z247" i="20"/>
  <c r="AA101" i="20"/>
  <c r="Z676" i="20"/>
  <c r="Z677" i="20"/>
  <c r="Z227" i="20"/>
  <c r="AA100" i="20"/>
  <c r="Y256" i="20"/>
  <c r="Z102" i="20"/>
  <c r="X291" i="20"/>
  <c r="Y103" i="20"/>
  <c r="U301" i="21"/>
  <c r="U204" i="21"/>
  <c r="U632" i="21"/>
  <c r="V484" i="21"/>
  <c r="W482" i="21"/>
  <c r="L410" i="21"/>
  <c r="L411" i="21"/>
  <c r="L414" i="21"/>
  <c r="L416" i="21"/>
  <c r="L710" i="21"/>
  <c r="L711" i="21"/>
  <c r="O696" i="21"/>
  <c r="Y475" i="21"/>
  <c r="X477" i="21"/>
  <c r="W539" i="21"/>
  <c r="V541" i="21"/>
  <c r="Y519" i="21"/>
  <c r="Z517" i="21"/>
  <c r="H653" i="21"/>
  <c r="X165" i="21"/>
  <c r="W166" i="21"/>
  <c r="E731" i="21"/>
  <c r="E733" i="21"/>
  <c r="E728" i="21"/>
  <c r="E729" i="21"/>
  <c r="Z458" i="21"/>
  <c r="Z460" i="21"/>
  <c r="O298" i="21"/>
  <c r="O306" i="21"/>
  <c r="O297" i="21"/>
  <c r="Q643" i="21"/>
  <c r="Q329" i="21"/>
  <c r="Q641" i="21"/>
  <c r="Q645" i="21"/>
  <c r="V655" i="21"/>
  <c r="V654" i="21"/>
  <c r="V181" i="21"/>
  <c r="V200" i="21"/>
  <c r="W287" i="21"/>
  <c r="D729" i="21"/>
  <c r="AB531" i="21"/>
  <c r="AA533" i="21"/>
  <c r="U492" i="21"/>
  <c r="U494" i="21"/>
  <c r="U509" i="21"/>
  <c r="V501" i="21"/>
  <c r="V503" i="21"/>
  <c r="W498" i="21"/>
  <c r="Y628" i="21"/>
  <c r="U231" i="21"/>
  <c r="Y177" i="21"/>
  <c r="X178" i="21"/>
  <c r="W471" i="21"/>
  <c r="V473" i="21"/>
  <c r="V479" i="21"/>
  <c r="N321" i="21"/>
  <c r="M310" i="21"/>
  <c r="M311" i="21"/>
  <c r="AB614" i="21"/>
  <c r="U171" i="21"/>
  <c r="U182" i="21"/>
  <c r="U185" i="21"/>
  <c r="W179" i="21"/>
  <c r="W184" i="21"/>
  <c r="D733" i="21"/>
  <c r="Q277" i="21"/>
  <c r="Q280" i="21"/>
  <c r="Q282" i="21"/>
  <c r="Q313" i="21"/>
  <c r="Q323" i="21"/>
  <c r="Q663" i="21"/>
  <c r="Q665" i="21"/>
  <c r="Q679" i="21"/>
  <c r="V373" i="21"/>
  <c r="U385" i="21"/>
  <c r="U389" i="21"/>
  <c r="U377" i="21"/>
  <c r="U378" i="21"/>
  <c r="U414" i="21"/>
  <c r="U416" i="21"/>
  <c r="U710" i="21"/>
  <c r="U404" i="21"/>
  <c r="U408" i="21"/>
  <c r="R259" i="21"/>
  <c r="X540" i="21"/>
  <c r="Y483" i="21"/>
  <c r="Z469" i="21"/>
  <c r="M767" i="21"/>
  <c r="M746" i="21"/>
  <c r="R664" i="21"/>
  <c r="R640" i="21"/>
  <c r="T636" i="21"/>
  <c r="T633" i="21"/>
  <c r="K710" i="21"/>
  <c r="K711" i="21"/>
  <c r="P643" i="21"/>
  <c r="P329" i="21"/>
  <c r="P641" i="21"/>
  <c r="P645" i="21"/>
  <c r="T296" i="21"/>
  <c r="T195" i="21"/>
  <c r="T618" i="21"/>
  <c r="U224" i="21"/>
  <c r="Y523" i="21"/>
  <c r="Y525" i="21"/>
  <c r="Z521" i="21"/>
  <c r="Z555" i="21"/>
  <c r="Y559" i="21"/>
  <c r="O643" i="21"/>
  <c r="O329" i="21"/>
  <c r="O641" i="21"/>
  <c r="O645" i="21"/>
  <c r="L311" i="21"/>
  <c r="W629" i="21"/>
  <c r="W631" i="21"/>
  <c r="W615" i="21"/>
  <c r="W617" i="21"/>
  <c r="X611" i="21"/>
  <c r="Y551" i="21"/>
  <c r="Z545" i="21"/>
  <c r="M679" i="21"/>
  <c r="M706" i="21"/>
  <c r="M328" i="21"/>
  <c r="N391" i="21"/>
  <c r="N392" i="21"/>
  <c r="F721" i="21"/>
  <c r="F720" i="21"/>
  <c r="G718" i="21"/>
  <c r="G719" i="21"/>
  <c r="W529" i="21"/>
  <c r="W535" i="21"/>
  <c r="X527" i="21"/>
  <c r="V201" i="21"/>
  <c r="T510" i="21"/>
  <c r="AB433" i="21"/>
  <c r="AA434" i="21"/>
  <c r="AA440" i="21"/>
  <c r="AA453" i="21"/>
  <c r="U251" i="21"/>
  <c r="V212" i="21"/>
  <c r="V167" i="21"/>
  <c r="V168" i="21"/>
  <c r="U191" i="21"/>
  <c r="V171" i="21"/>
  <c r="V182" i="21"/>
  <c r="S622" i="21"/>
  <c r="S619" i="21"/>
  <c r="S624" i="21"/>
  <c r="Q638" i="20"/>
  <c r="R283" i="20"/>
  <c r="R315" i="20"/>
  <c r="R284" i="20"/>
  <c r="R316" i="20"/>
  <c r="R303" i="20"/>
  <c r="R317" i="20"/>
  <c r="R318" i="20"/>
  <c r="R652" i="20"/>
  <c r="R325" i="20"/>
  <c r="R692" i="20"/>
  <c r="R694" i="20"/>
  <c r="K711" i="20"/>
  <c r="S185" i="20"/>
  <c r="X107" i="20"/>
  <c r="W270" i="20"/>
  <c r="X266" i="20"/>
  <c r="Y106" i="20"/>
  <c r="Y274" i="20"/>
  <c r="Z108" i="20"/>
  <c r="W745" i="20"/>
  <c r="W766" i="20"/>
  <c r="X642" i="20"/>
  <c r="X320" i="20"/>
  <c r="X738" i="20"/>
  <c r="X648" i="20"/>
  <c r="X357" i="20"/>
  <c r="X359" i="20"/>
  <c r="Y98" i="20"/>
  <c r="X697" i="20"/>
  <c r="S269" i="20"/>
  <c r="S271" i="20"/>
  <c r="S248" i="20"/>
  <c r="F655" i="20"/>
  <c r="M767" i="20"/>
  <c r="M651" i="20"/>
  <c r="M653" i="20"/>
  <c r="M655" i="20"/>
  <c r="M746" i="20"/>
  <c r="V477" i="20"/>
  <c r="V479" i="20"/>
  <c r="V492" i="20"/>
  <c r="V494" i="20"/>
  <c r="V509" i="20"/>
  <c r="W475" i="20"/>
  <c r="R301" i="20"/>
  <c r="R326" i="20"/>
  <c r="R682" i="20"/>
  <c r="R684" i="20"/>
  <c r="R204" i="20"/>
  <c r="R632" i="20"/>
  <c r="P624" i="20"/>
  <c r="Q624" i="20"/>
  <c r="X540" i="20"/>
  <c r="Y483" i="20"/>
  <c r="V535" i="20"/>
  <c r="S301" i="20"/>
  <c r="S204" i="20"/>
  <c r="S632" i="20"/>
  <c r="S303" i="20"/>
  <c r="S317" i="20"/>
  <c r="S326" i="20"/>
  <c r="S682" i="20"/>
  <c r="S684" i="20"/>
  <c r="S257" i="20"/>
  <c r="N391" i="20"/>
  <c r="N392" i="20"/>
  <c r="Z551" i="20"/>
  <c r="AA545" i="20"/>
  <c r="S296" i="20"/>
  <c r="S195" i="20"/>
  <c r="S618" i="20"/>
  <c r="X521" i="20"/>
  <c r="W523" i="20"/>
  <c r="W525" i="20"/>
  <c r="N709" i="20"/>
  <c r="N698" i="20"/>
  <c r="U287" i="20"/>
  <c r="T200" i="20"/>
  <c r="R259" i="20"/>
  <c r="T191" i="20"/>
  <c r="U212" i="20"/>
  <c r="U168" i="20"/>
  <c r="U167" i="20"/>
  <c r="U171" i="20"/>
  <c r="U182" i="20"/>
  <c r="AA498" i="20"/>
  <c r="Z501" i="20"/>
  <c r="Z503" i="20"/>
  <c r="N297" i="20"/>
  <c r="N298" i="20"/>
  <c r="N306" i="20"/>
  <c r="O297" i="20"/>
  <c r="O298" i="20"/>
  <c r="O306" i="20"/>
  <c r="W177" i="20"/>
  <c r="V178" i="20"/>
  <c r="V179" i="20"/>
  <c r="V184" i="20"/>
  <c r="Y614" i="20"/>
  <c r="X617" i="20"/>
  <c r="W165" i="20"/>
  <c r="V166" i="20"/>
  <c r="U179" i="20"/>
  <c r="U184" i="20"/>
  <c r="O664" i="20"/>
  <c r="O665" i="20"/>
  <c r="O640" i="20"/>
  <c r="N708" i="20"/>
  <c r="N649" i="20"/>
  <c r="N646" i="20"/>
  <c r="AA628" i="20"/>
  <c r="T201" i="20"/>
  <c r="U170" i="20"/>
  <c r="T224" i="20"/>
  <c r="Q259" i="20"/>
  <c r="D733" i="20"/>
  <c r="M321" i="20"/>
  <c r="L310" i="20"/>
  <c r="W373" i="20"/>
  <c r="V385" i="20"/>
  <c r="V389" i="20"/>
  <c r="V377" i="20"/>
  <c r="V378" i="20"/>
  <c r="V414" i="20"/>
  <c r="V416" i="20"/>
  <c r="V710" i="20"/>
  <c r="V404" i="20"/>
  <c r="V408" i="20"/>
  <c r="X469" i="20"/>
  <c r="J330" i="20"/>
  <c r="T231" i="20"/>
  <c r="E728" i="20"/>
  <c r="E729" i="20"/>
  <c r="E731" i="20"/>
  <c r="E733" i="20"/>
  <c r="D729" i="20"/>
  <c r="W541" i="20"/>
  <c r="X539" i="20"/>
  <c r="T171" i="20"/>
  <c r="T182" i="20"/>
  <c r="K311" i="20"/>
  <c r="AB517" i="20"/>
  <c r="AA519" i="20"/>
  <c r="L407" i="20"/>
  <c r="L409" i="20"/>
  <c r="J696" i="20"/>
  <c r="T654" i="20"/>
  <c r="T181" i="20"/>
  <c r="Q318" i="20"/>
  <c r="Q652" i="20"/>
  <c r="Q324" i="20"/>
  <c r="Q687" i="20"/>
  <c r="Q689" i="20"/>
  <c r="L706" i="20"/>
  <c r="L328" i="20"/>
  <c r="L330" i="20"/>
  <c r="W484" i="20"/>
  <c r="X482" i="20"/>
  <c r="X471" i="20"/>
  <c r="W473" i="20"/>
  <c r="W458" i="20"/>
  <c r="W460" i="20"/>
  <c r="F720" i="20"/>
  <c r="G718" i="20"/>
  <c r="G719" i="20"/>
  <c r="F721" i="20"/>
  <c r="I765" i="20"/>
  <c r="I744" i="20"/>
  <c r="Z559" i="20"/>
  <c r="AA555" i="20"/>
  <c r="T251" i="20"/>
  <c r="Y527" i="20"/>
  <c r="X529" i="20"/>
  <c r="X434" i="20"/>
  <c r="X440" i="20"/>
  <c r="X453" i="20"/>
  <c r="J765" i="20"/>
  <c r="J744" i="20"/>
  <c r="W531" i="20"/>
  <c r="V533" i="20"/>
  <c r="Z611" i="20"/>
  <c r="Y615" i="20"/>
  <c r="Y629" i="20"/>
  <c r="Y631" i="20"/>
  <c r="T172" i="20"/>
  <c r="T183" i="20"/>
  <c r="R622" i="20"/>
  <c r="R619" i="20"/>
  <c r="J765" i="14"/>
  <c r="Q645" i="14"/>
  <c r="Q649" i="14"/>
  <c r="W291" i="14"/>
  <c r="W184" i="14"/>
  <c r="U227" i="14"/>
  <c r="U676" i="14"/>
  <c r="U677" i="14"/>
  <c r="U181" i="14"/>
  <c r="S540" i="14"/>
  <c r="S541" i="14"/>
  <c r="S574" i="14"/>
  <c r="S575" i="14"/>
  <c r="S484" i="14"/>
  <c r="T483" i="14"/>
  <c r="T628" i="14"/>
  <c r="S631" i="14"/>
  <c r="S633" i="14"/>
  <c r="S638" i="14"/>
  <c r="S745" i="14"/>
  <c r="S766" i="14"/>
  <c r="T357" i="14"/>
  <c r="T359" i="14"/>
  <c r="T738" i="14"/>
  <c r="T648" i="14"/>
  <c r="T320" i="14"/>
  <c r="T642" i="14"/>
  <c r="T697" i="14"/>
  <c r="U611" i="14"/>
  <c r="T615" i="14"/>
  <c r="T617" i="14"/>
  <c r="T619" i="14"/>
  <c r="T624" i="14"/>
  <c r="T664" i="14"/>
  <c r="T629" i="14"/>
  <c r="U531" i="14"/>
  <c r="T533" i="14"/>
  <c r="T535" i="14"/>
  <c r="R492" i="14"/>
  <c r="R494" i="14"/>
  <c r="R509" i="14"/>
  <c r="R510" i="14"/>
  <c r="S102" i="9"/>
  <c r="T96" i="9"/>
  <c r="S726" i="14"/>
  <c r="R678" i="14"/>
  <c r="S149" i="14"/>
  <c r="S332" i="14"/>
  <c r="S94" i="14"/>
  <c r="S605" i="14"/>
  <c r="S741" i="14"/>
  <c r="S463" i="14"/>
  <c r="S187" i="14"/>
  <c r="S764" i="14"/>
  <c r="S657" i="14"/>
  <c r="S206" i="14"/>
  <c r="S113" i="14"/>
  <c r="T36" i="9"/>
  <c r="S512" i="14"/>
  <c r="S596" i="14"/>
  <c r="S426" i="14"/>
  <c r="S294" i="14"/>
  <c r="T47" i="9"/>
  <c r="S218" i="14"/>
  <c r="T83" i="9"/>
  <c r="S674" i="14"/>
  <c r="U53" i="9"/>
  <c r="T233" i="14"/>
  <c r="S755" i="14"/>
  <c r="T101" i="9"/>
  <c r="T732" i="14"/>
  <c r="U98" i="9"/>
  <c r="U37" i="9"/>
  <c r="T95" i="14"/>
  <c r="T223" i="14"/>
  <c r="T224" i="14"/>
  <c r="U49" i="9"/>
  <c r="R265" i="14"/>
  <c r="R267" i="14"/>
  <c r="R228" i="14"/>
  <c r="T97" i="9"/>
  <c r="S727" i="14"/>
  <c r="T43" i="9"/>
  <c r="S214" i="14"/>
  <c r="H416" i="14"/>
  <c r="P325" i="14"/>
  <c r="P318" i="14"/>
  <c r="P652" i="14"/>
  <c r="H706" i="14"/>
  <c r="H328" i="14"/>
  <c r="P682" i="14"/>
  <c r="O708" i="14"/>
  <c r="O649" i="14"/>
  <c r="O646" i="14"/>
  <c r="E721" i="14"/>
  <c r="E720" i="14"/>
  <c r="F718" i="14"/>
  <c r="P263" i="14"/>
  <c r="U422" i="14"/>
  <c r="C422" i="14"/>
  <c r="C419" i="14"/>
  <c r="C420" i="14"/>
  <c r="S245" i="14"/>
  <c r="S246" i="14"/>
  <c r="V475" i="14"/>
  <c r="U477" i="14"/>
  <c r="V373" i="14"/>
  <c r="U377" i="14"/>
  <c r="U378" i="14"/>
  <c r="U414" i="14"/>
  <c r="U416" i="14"/>
  <c r="U710" i="14"/>
  <c r="U385" i="14"/>
  <c r="U389" i="14"/>
  <c r="Q259" i="14"/>
  <c r="I744" i="14"/>
  <c r="I765" i="14"/>
  <c r="Y517" i="14"/>
  <c r="X519" i="14"/>
  <c r="M391" i="14"/>
  <c r="T236" i="14"/>
  <c r="U56" i="9"/>
  <c r="X471" i="14"/>
  <c r="D728" i="14"/>
  <c r="D731" i="14"/>
  <c r="C195" i="14"/>
  <c r="H709" i="14"/>
  <c r="H698" i="14"/>
  <c r="H651" i="14"/>
  <c r="H653" i="14"/>
  <c r="H655" i="14"/>
  <c r="U93" i="9"/>
  <c r="T693" i="14"/>
  <c r="G746" i="14"/>
  <c r="G767" i="14"/>
  <c r="T266" i="14"/>
  <c r="H311" i="14"/>
  <c r="G311" i="14"/>
  <c r="I411" i="14"/>
  <c r="F651" i="14"/>
  <c r="M306" i="14"/>
  <c r="S670" i="14"/>
  <c r="T79" i="9"/>
  <c r="O277" i="14"/>
  <c r="O280" i="14"/>
  <c r="O282" i="14"/>
  <c r="O313" i="14"/>
  <c r="O323" i="14"/>
  <c r="O663" i="14"/>
  <c r="O665" i="14"/>
  <c r="O679" i="14"/>
  <c r="O696" i="14"/>
  <c r="U60" i="9"/>
  <c r="T240" i="14"/>
  <c r="S669" i="14"/>
  <c r="T78" i="9"/>
  <c r="R622" i="14"/>
  <c r="C622" i="14"/>
  <c r="C618" i="14"/>
  <c r="R619" i="14"/>
  <c r="S253" i="14"/>
  <c r="S255" i="14"/>
  <c r="T67" i="9"/>
  <c r="G696" i="14"/>
  <c r="U61" i="9"/>
  <c r="T241" i="14"/>
  <c r="S668" i="14"/>
  <c r="T77" i="9"/>
  <c r="F711" i="14"/>
  <c r="L706" i="14"/>
  <c r="L328" i="14"/>
  <c r="L330" i="14"/>
  <c r="U270" i="14"/>
  <c r="V614" i="14"/>
  <c r="T472" i="14"/>
  <c r="S473" i="14"/>
  <c r="S479" i="14"/>
  <c r="V57" i="9"/>
  <c r="U237" i="14"/>
  <c r="M663" i="14"/>
  <c r="P708" i="14"/>
  <c r="P649" i="14"/>
  <c r="P646" i="14"/>
  <c r="S289" i="14"/>
  <c r="S290" i="14"/>
  <c r="S292" i="14"/>
  <c r="T71" i="9"/>
  <c r="U55" i="9"/>
  <c r="T235" i="14"/>
  <c r="N298" i="14"/>
  <c r="N306" i="14"/>
  <c r="N297" i="14"/>
  <c r="R273" i="14"/>
  <c r="R275" i="14"/>
  <c r="R257" i="14"/>
  <c r="W527" i="14"/>
  <c r="V529" i="14"/>
  <c r="W458" i="14"/>
  <c r="W460" i="14"/>
  <c r="S274" i="14"/>
  <c r="J407" i="14"/>
  <c r="J409" i="14"/>
  <c r="Q284" i="14"/>
  <c r="Q316" i="14"/>
  <c r="Q325" i="14"/>
  <c r="Q692" i="14"/>
  <c r="Q694" i="14"/>
  <c r="T76" i="9"/>
  <c r="S667" i="14"/>
  <c r="R636" i="14"/>
  <c r="C636" i="14"/>
  <c r="R633" i="14"/>
  <c r="C632" i="14"/>
  <c r="Y433" i="14"/>
  <c r="X434" i="14"/>
  <c r="X440" i="14"/>
  <c r="X453" i="14"/>
  <c r="U551" i="14"/>
  <c r="V545" i="14"/>
  <c r="U59" i="9"/>
  <c r="T239" i="14"/>
  <c r="V62" i="9"/>
  <c r="U242" i="14"/>
  <c r="R302" i="14"/>
  <c r="R303" i="14"/>
  <c r="R317" i="14"/>
  <c r="R326" i="14"/>
  <c r="R682" i="14"/>
  <c r="R684" i="14"/>
  <c r="T215" i="14"/>
  <c r="U44" i="9"/>
  <c r="T63" i="9"/>
  <c r="S243" i="14"/>
  <c r="V559" i="14"/>
  <c r="W555" i="14"/>
  <c r="U539" i="14"/>
  <c r="T45" i="9"/>
  <c r="S216" i="14"/>
  <c r="S219" i="14"/>
  <c r="S220" i="14"/>
  <c r="S221" i="14"/>
  <c r="S226" i="14"/>
  <c r="K744" i="14"/>
  <c r="K765" i="14"/>
  <c r="Q708" i="14"/>
  <c r="X521" i="14"/>
  <c r="W523" i="14"/>
  <c r="W525" i="14"/>
  <c r="U247" i="14"/>
  <c r="U182" i="14"/>
  <c r="N640" i="14"/>
  <c r="N664" i="14"/>
  <c r="T256" i="14"/>
  <c r="T183" i="14"/>
  <c r="T185" i="14"/>
  <c r="T80" i="9"/>
  <c r="S671" i="14"/>
  <c r="Z580" i="14"/>
  <c r="Y581" i="14"/>
  <c r="Y587" i="14"/>
  <c r="Y593" i="14"/>
  <c r="Q283" i="14"/>
  <c r="Q315" i="14"/>
  <c r="R269" i="14"/>
  <c r="R271" i="14"/>
  <c r="R248" i="14"/>
  <c r="U81" i="9"/>
  <c r="T672" i="14"/>
  <c r="T501" i="14"/>
  <c r="T503" i="14"/>
  <c r="T507" i="14"/>
  <c r="C507" i="14"/>
  <c r="U498" i="14"/>
  <c r="T234" i="14"/>
  <c r="U54" i="9"/>
  <c r="S683" i="14"/>
  <c r="T87" i="9"/>
  <c r="S619" i="14"/>
  <c r="S624" i="14"/>
  <c r="S265" i="21"/>
  <c r="S267" i="21"/>
  <c r="S228" i="21"/>
  <c r="Q325" i="21"/>
  <c r="Q692" i="21"/>
  <c r="Q694" i="21"/>
  <c r="Q318" i="21"/>
  <c r="Q652" i="21"/>
  <c r="U672" i="21"/>
  <c r="U672" i="20"/>
  <c r="T216" i="21"/>
  <c r="T217" i="21"/>
  <c r="T219" i="21"/>
  <c r="T220" i="21"/>
  <c r="T221" i="21"/>
  <c r="T226" i="21"/>
  <c r="T216" i="20"/>
  <c r="V237" i="21"/>
  <c r="V237" i="20"/>
  <c r="T670" i="21"/>
  <c r="T670" i="20"/>
  <c r="T755" i="21"/>
  <c r="T755" i="20"/>
  <c r="T596" i="21"/>
  <c r="T657" i="21"/>
  <c r="T512" i="21"/>
  <c r="T764" i="21"/>
  <c r="T741" i="21"/>
  <c r="T463" i="21"/>
  <c r="T605" i="21"/>
  <c r="T332" i="21"/>
  <c r="T149" i="21"/>
  <c r="T94" i="21"/>
  <c r="T113" i="21"/>
  <c r="T294" i="21"/>
  <c r="T187" i="21"/>
  <c r="T426" i="21"/>
  <c r="T657" i="20"/>
  <c r="T332" i="20"/>
  <c r="T741" i="20"/>
  <c r="T596" i="20"/>
  <c r="T463" i="20"/>
  <c r="T605" i="20"/>
  <c r="T206" i="21"/>
  <c r="T426" i="20"/>
  <c r="T294" i="20"/>
  <c r="T206" i="20"/>
  <c r="T764" i="20"/>
  <c r="T512" i="20"/>
  <c r="T113" i="20"/>
  <c r="T94" i="20"/>
  <c r="T187" i="20"/>
  <c r="T149" i="20"/>
  <c r="P282" i="20"/>
  <c r="P313" i="20"/>
  <c r="P323" i="20"/>
  <c r="P663" i="20"/>
  <c r="P325" i="20"/>
  <c r="P692" i="20"/>
  <c r="P694" i="20"/>
  <c r="P318" i="20"/>
  <c r="P652" i="20"/>
  <c r="T217" i="20"/>
  <c r="T217" i="14"/>
  <c r="U46" i="9"/>
  <c r="T726" i="21"/>
  <c r="T726" i="20"/>
  <c r="U233" i="20"/>
  <c r="U233" i="21"/>
  <c r="S756" i="14"/>
  <c r="S756" i="21"/>
  <c r="S756" i="20"/>
  <c r="T688" i="21"/>
  <c r="T688" i="20"/>
  <c r="T688" i="14"/>
  <c r="U90" i="9"/>
  <c r="R284" i="21"/>
  <c r="R316" i="21"/>
  <c r="R325" i="21"/>
  <c r="R692" i="21"/>
  <c r="R694" i="21"/>
  <c r="U693" i="21"/>
  <c r="U693" i="20"/>
  <c r="T673" i="21"/>
  <c r="T673" i="20"/>
  <c r="T673" i="14"/>
  <c r="U82" i="9"/>
  <c r="U223" i="21"/>
  <c r="U223" i="20"/>
  <c r="T675" i="21"/>
  <c r="T675" i="20"/>
  <c r="T675" i="14"/>
  <c r="U84" i="9"/>
  <c r="T238" i="21"/>
  <c r="T238" i="20"/>
  <c r="T245" i="20"/>
  <c r="T246" i="20"/>
  <c r="T238" i="14"/>
  <c r="U58" i="9"/>
  <c r="T674" i="21"/>
  <c r="T674" i="20"/>
  <c r="S302" i="21"/>
  <c r="S303" i="21"/>
  <c r="S317" i="21"/>
  <c r="S326" i="21"/>
  <c r="S682" i="21"/>
  <c r="S684" i="21"/>
  <c r="U235" i="21"/>
  <c r="U235" i="20"/>
  <c r="S678" i="20"/>
  <c r="T253" i="21"/>
  <c r="T254" i="21"/>
  <c r="T255" i="21"/>
  <c r="T253" i="20"/>
  <c r="T254" i="20"/>
  <c r="T255" i="20"/>
  <c r="S257" i="21"/>
  <c r="S273" i="21"/>
  <c r="S275" i="21"/>
  <c r="U239" i="21"/>
  <c r="U239" i="20"/>
  <c r="T218" i="21"/>
  <c r="T218" i="20"/>
  <c r="S678" i="21"/>
  <c r="T254" i="14"/>
  <c r="U68" i="9"/>
  <c r="U241" i="21"/>
  <c r="U241" i="20"/>
  <c r="V242" i="21"/>
  <c r="V242" i="20"/>
  <c r="U236" i="21"/>
  <c r="U236" i="20"/>
  <c r="R324" i="20"/>
  <c r="R687" i="20"/>
  <c r="R689" i="20"/>
  <c r="S248" i="21"/>
  <c r="S269" i="21"/>
  <c r="S271" i="21"/>
  <c r="S283" i="21"/>
  <c r="S315" i="21"/>
  <c r="R283" i="21"/>
  <c r="R315" i="21"/>
  <c r="T671" i="21"/>
  <c r="T671" i="20"/>
  <c r="T243" i="21"/>
  <c r="T243" i="20"/>
  <c r="P282" i="21"/>
  <c r="P313" i="21"/>
  <c r="P323" i="21"/>
  <c r="P663" i="21"/>
  <c r="P665" i="21"/>
  <c r="P679" i="21"/>
  <c r="P696" i="21"/>
  <c r="P318" i="21"/>
  <c r="P652" i="21"/>
  <c r="T245" i="21"/>
  <c r="T246" i="21"/>
  <c r="T214" i="21"/>
  <c r="T214" i="20"/>
  <c r="Q696" i="21"/>
  <c r="T727" i="21"/>
  <c r="T727" i="20"/>
  <c r="T667" i="21"/>
  <c r="T667" i="20"/>
  <c r="T683" i="21"/>
  <c r="T683" i="20"/>
  <c r="T289" i="21"/>
  <c r="T290" i="21"/>
  <c r="T292" i="21"/>
  <c r="T289" i="20"/>
  <c r="T290" i="20"/>
  <c r="T292" i="20"/>
  <c r="T302" i="20"/>
  <c r="T669" i="21"/>
  <c r="T669" i="20"/>
  <c r="U234" i="21"/>
  <c r="U234" i="20"/>
  <c r="U215" i="21"/>
  <c r="U215" i="20"/>
  <c r="T668" i="21"/>
  <c r="T668" i="20"/>
  <c r="U240" i="21"/>
  <c r="U240" i="20"/>
  <c r="U95" i="21"/>
  <c r="U95" i="20"/>
  <c r="U732" i="21"/>
  <c r="U732" i="20"/>
  <c r="T219" i="20"/>
  <c r="T220" i="20"/>
  <c r="T221" i="20"/>
  <c r="Y100" i="21"/>
  <c r="X227" i="21"/>
  <c r="X676" i="21"/>
  <c r="X677" i="21"/>
  <c r="AA103" i="21"/>
  <c r="Z291" i="21"/>
  <c r="AA106" i="21"/>
  <c r="Z266" i="21"/>
  <c r="W766" i="21"/>
  <c r="W745" i="21"/>
  <c r="AC101" i="21"/>
  <c r="AB247" i="21"/>
  <c r="AA256" i="21"/>
  <c r="AB102" i="21"/>
  <c r="X320" i="21"/>
  <c r="Y98" i="21"/>
  <c r="X642" i="21"/>
  <c r="X357" i="21"/>
  <c r="X359" i="21"/>
  <c r="X648" i="21"/>
  <c r="X738" i="21"/>
  <c r="X697" i="21"/>
  <c r="Z108" i="21"/>
  <c r="Y274" i="21"/>
  <c r="Y270" i="21"/>
  <c r="Z107" i="21"/>
  <c r="Z103" i="20"/>
  <c r="Y291" i="20"/>
  <c r="Z256" i="20"/>
  <c r="AA102" i="20"/>
  <c r="AA227" i="20"/>
  <c r="AB100" i="20"/>
  <c r="AA676" i="20"/>
  <c r="AA677" i="20"/>
  <c r="AA247" i="20"/>
  <c r="AB101" i="20"/>
  <c r="L744" i="21"/>
  <c r="L765" i="21"/>
  <c r="Z628" i="21"/>
  <c r="W172" i="21"/>
  <c r="W183" i="21"/>
  <c r="W167" i="21"/>
  <c r="V191" i="21"/>
  <c r="W212" i="21"/>
  <c r="W168" i="21"/>
  <c r="W171" i="21"/>
  <c r="W182" i="21"/>
  <c r="O698" i="21"/>
  <c r="O709" i="21"/>
  <c r="M330" i="21"/>
  <c r="M765" i="21"/>
  <c r="M744" i="21"/>
  <c r="W200" i="21"/>
  <c r="X287" i="21"/>
  <c r="W501" i="21"/>
  <c r="W503" i="21"/>
  <c r="X498" i="21"/>
  <c r="Q708" i="21"/>
  <c r="Q649" i="21"/>
  <c r="Q646" i="21"/>
  <c r="Y165" i="21"/>
  <c r="X166" i="21"/>
  <c r="V192" i="21"/>
  <c r="V204" i="21"/>
  <c r="V632" i="21"/>
  <c r="V301" i="21"/>
  <c r="Z177" i="21"/>
  <c r="Y178" i="21"/>
  <c r="W170" i="21"/>
  <c r="M407" i="21"/>
  <c r="M409" i="21"/>
  <c r="AC433" i="21"/>
  <c r="AB434" i="21"/>
  <c r="AB440" i="21"/>
  <c r="AB453" i="21"/>
  <c r="V251" i="21"/>
  <c r="Y527" i="21"/>
  <c r="X529" i="21"/>
  <c r="X535" i="21"/>
  <c r="O708" i="21"/>
  <c r="O649" i="21"/>
  <c r="O646" i="21"/>
  <c r="X179" i="21"/>
  <c r="X184" i="21"/>
  <c r="W484" i="21"/>
  <c r="X482" i="21"/>
  <c r="V231" i="21"/>
  <c r="T638" i="21"/>
  <c r="W373" i="21"/>
  <c r="V377" i="21"/>
  <c r="V378" i="21"/>
  <c r="V414" i="21"/>
  <c r="V416" i="21"/>
  <c r="V710" i="21"/>
  <c r="V385" i="21"/>
  <c r="V389" i="21"/>
  <c r="V404" i="21"/>
  <c r="V408" i="21"/>
  <c r="V224" i="21"/>
  <c r="G720" i="21"/>
  <c r="H718" i="21"/>
  <c r="H719" i="21"/>
  <c r="G721" i="21"/>
  <c r="AA469" i="21"/>
  <c r="Q698" i="21"/>
  <c r="Q709" i="21"/>
  <c r="AB533" i="21"/>
  <c r="AC531" i="21"/>
  <c r="U192" i="21"/>
  <c r="H655" i="21"/>
  <c r="U636" i="21"/>
  <c r="U633" i="21"/>
  <c r="P297" i="21"/>
  <c r="P298" i="21"/>
  <c r="P306" i="21"/>
  <c r="V172" i="21"/>
  <c r="V183" i="21"/>
  <c r="V185" i="21"/>
  <c r="F728" i="21"/>
  <c r="F731" i="21"/>
  <c r="M696" i="21"/>
  <c r="T622" i="21"/>
  <c r="T619" i="21"/>
  <c r="T624" i="21"/>
  <c r="R643" i="21"/>
  <c r="R329" i="21"/>
  <c r="R641" i="21"/>
  <c r="R645" i="21"/>
  <c r="Q297" i="21"/>
  <c r="Q298" i="21"/>
  <c r="Q306" i="21"/>
  <c r="AC614" i="21"/>
  <c r="D735" i="21"/>
  <c r="AA517" i="21"/>
  <c r="Z519" i="21"/>
  <c r="AA545" i="21"/>
  <c r="Z551" i="21"/>
  <c r="Y540" i="21"/>
  <c r="Z483" i="21"/>
  <c r="O321" i="21"/>
  <c r="N310" i="21"/>
  <c r="N311" i="21"/>
  <c r="O388" i="21"/>
  <c r="O390" i="21"/>
  <c r="AA555" i="21"/>
  <c r="Z559" i="21"/>
  <c r="P649" i="21"/>
  <c r="P708" i="21"/>
  <c r="P646" i="21"/>
  <c r="N706" i="21"/>
  <c r="N328" i="21"/>
  <c r="N330" i="21"/>
  <c r="Z475" i="21"/>
  <c r="Y477" i="21"/>
  <c r="X615" i="21"/>
  <c r="X617" i="21"/>
  <c r="X629" i="21"/>
  <c r="X631" i="21"/>
  <c r="Y611" i="21"/>
  <c r="R263" i="21"/>
  <c r="V492" i="21"/>
  <c r="V494" i="21"/>
  <c r="V509" i="21"/>
  <c r="W201" i="21"/>
  <c r="X539" i="21"/>
  <c r="W541" i="21"/>
  <c r="S664" i="21"/>
  <c r="S640" i="21"/>
  <c r="AA458" i="21"/>
  <c r="AA460" i="21"/>
  <c r="AA521" i="21"/>
  <c r="Z523" i="21"/>
  <c r="Z525" i="21"/>
  <c r="P698" i="21"/>
  <c r="P709" i="21"/>
  <c r="X471" i="21"/>
  <c r="W473" i="21"/>
  <c r="W479" i="21"/>
  <c r="W492" i="21"/>
  <c r="W494" i="21"/>
  <c r="W509" i="21"/>
  <c r="E735" i="21"/>
  <c r="E737" i="21"/>
  <c r="E739" i="21"/>
  <c r="R624" i="20"/>
  <c r="Y107" i="20"/>
  <c r="X270" i="20"/>
  <c r="S283" i="20"/>
  <c r="S315" i="20"/>
  <c r="AA108" i="20"/>
  <c r="Z274" i="20"/>
  <c r="Y266" i="20"/>
  <c r="Z106" i="20"/>
  <c r="Y320" i="20"/>
  <c r="Y738" i="20"/>
  <c r="Y648" i="20"/>
  <c r="Y357" i="20"/>
  <c r="Y359" i="20"/>
  <c r="Y697" i="20"/>
  <c r="Z98" i="20"/>
  <c r="Y642" i="20"/>
  <c r="X766" i="20"/>
  <c r="X745" i="20"/>
  <c r="O679" i="20"/>
  <c r="F731" i="20"/>
  <c r="F728" i="20"/>
  <c r="Y434" i="20"/>
  <c r="Y440" i="20"/>
  <c r="Y453" i="20"/>
  <c r="G721" i="20"/>
  <c r="G720" i="20"/>
  <c r="H718" i="20"/>
  <c r="H719" i="20"/>
  <c r="T185" i="20"/>
  <c r="Q263" i="20"/>
  <c r="X177" i="20"/>
  <c r="W178" i="20"/>
  <c r="U224" i="20"/>
  <c r="Y521" i="20"/>
  <c r="X523" i="20"/>
  <c r="X525" i="20"/>
  <c r="S636" i="20"/>
  <c r="S633" i="20"/>
  <c r="S638" i="20"/>
  <c r="X458" i="20"/>
  <c r="X460" i="20"/>
  <c r="R664" i="20"/>
  <c r="S622" i="20"/>
  <c r="S619" i="20"/>
  <c r="W535" i="20"/>
  <c r="Z527" i="20"/>
  <c r="Y529" i="20"/>
  <c r="X541" i="20"/>
  <c r="Y539" i="20"/>
  <c r="Y469" i="20"/>
  <c r="O321" i="20"/>
  <c r="N310" i="20"/>
  <c r="T257" i="20"/>
  <c r="T273" i="20"/>
  <c r="T275" i="20"/>
  <c r="T226" i="20"/>
  <c r="P297" i="20"/>
  <c r="P298" i="20"/>
  <c r="P306" i="20"/>
  <c r="R263" i="20"/>
  <c r="AA551" i="20"/>
  <c r="AB545" i="20"/>
  <c r="Y540" i="20"/>
  <c r="Z483" i="20"/>
  <c r="U251" i="20"/>
  <c r="X473" i="20"/>
  <c r="Y471" i="20"/>
  <c r="J698" i="20"/>
  <c r="J709" i="20"/>
  <c r="U655" i="20"/>
  <c r="U654" i="20"/>
  <c r="U181" i="20"/>
  <c r="S265" i="20"/>
  <c r="S267" i="20"/>
  <c r="S228" i="20"/>
  <c r="M310" i="20"/>
  <c r="M311" i="20"/>
  <c r="N321" i="20"/>
  <c r="Y482" i="20"/>
  <c r="X484" i="20"/>
  <c r="L410" i="20"/>
  <c r="L411" i="20"/>
  <c r="L414" i="20"/>
  <c r="L416" i="20"/>
  <c r="L710" i="20"/>
  <c r="L711" i="20"/>
  <c r="D735" i="20"/>
  <c r="T303" i="20"/>
  <c r="T317" i="20"/>
  <c r="T326" i="20"/>
  <c r="T682" i="20"/>
  <c r="T684" i="20"/>
  <c r="T301" i="20"/>
  <c r="T204" i="20"/>
  <c r="T632" i="20"/>
  <c r="V212" i="20"/>
  <c r="U191" i="20"/>
  <c r="V167" i="20"/>
  <c r="V171" i="20"/>
  <c r="V182" i="20"/>
  <c r="V168" i="20"/>
  <c r="V172" i="20"/>
  <c r="V183" i="20"/>
  <c r="Q664" i="20"/>
  <c r="Q640" i="20"/>
  <c r="AA611" i="20"/>
  <c r="Z629" i="20"/>
  <c r="Z631" i="20"/>
  <c r="Z615" i="20"/>
  <c r="AA559" i="20"/>
  <c r="AB555" i="20"/>
  <c r="X165" i="20"/>
  <c r="W166" i="20"/>
  <c r="O388" i="20"/>
  <c r="O390" i="20"/>
  <c r="P664" i="20"/>
  <c r="P665" i="20"/>
  <c r="P679" i="20"/>
  <c r="P696" i="20"/>
  <c r="P640" i="20"/>
  <c r="AC517" i="20"/>
  <c r="AB519" i="20"/>
  <c r="X373" i="20"/>
  <c r="W377" i="20"/>
  <c r="W378" i="20"/>
  <c r="W414" i="20"/>
  <c r="W416" i="20"/>
  <c r="W710" i="20"/>
  <c r="W385" i="20"/>
  <c r="W389" i="20"/>
  <c r="W404" i="20"/>
  <c r="W408" i="20"/>
  <c r="AB628" i="20"/>
  <c r="V170" i="20"/>
  <c r="AB498" i="20"/>
  <c r="AA501" i="20"/>
  <c r="AA503" i="20"/>
  <c r="R636" i="20"/>
  <c r="R633" i="20"/>
  <c r="O643" i="20"/>
  <c r="O329" i="20"/>
  <c r="O641" i="20"/>
  <c r="O645" i="20"/>
  <c r="W533" i="20"/>
  <c r="X531" i="20"/>
  <c r="K765" i="20"/>
  <c r="K744" i="20"/>
  <c r="E735" i="20"/>
  <c r="E737" i="20"/>
  <c r="E739" i="20"/>
  <c r="V287" i="20"/>
  <c r="U200" i="20"/>
  <c r="T192" i="20"/>
  <c r="L311" i="20"/>
  <c r="T269" i="20"/>
  <c r="T271" i="20"/>
  <c r="T248" i="20"/>
  <c r="T283" i="20"/>
  <c r="M706" i="20"/>
  <c r="M328" i="20"/>
  <c r="N746" i="20"/>
  <c r="N767" i="20"/>
  <c r="N651" i="20"/>
  <c r="N653" i="20"/>
  <c r="N655" i="20"/>
  <c r="U172" i="20"/>
  <c r="U183" i="20"/>
  <c r="X475" i="20"/>
  <c r="W477" i="20"/>
  <c r="W479" i="20"/>
  <c r="W492" i="20"/>
  <c r="W494" i="20"/>
  <c r="W509" i="20"/>
  <c r="Y617" i="20"/>
  <c r="Z614" i="20"/>
  <c r="U245" i="20"/>
  <c r="U246" i="20"/>
  <c r="U231" i="20"/>
  <c r="S284" i="20"/>
  <c r="S316" i="20"/>
  <c r="S325" i="20"/>
  <c r="S692" i="20"/>
  <c r="S694" i="20"/>
  <c r="Q646" i="14"/>
  <c r="S492" i="14"/>
  <c r="S494" i="14"/>
  <c r="S509" i="14"/>
  <c r="X291" i="14"/>
  <c r="X184" i="14"/>
  <c r="V227" i="14"/>
  <c r="V676" i="14"/>
  <c r="V677" i="14"/>
  <c r="V181" i="14"/>
  <c r="T745" i="14"/>
  <c r="T766" i="14"/>
  <c r="U648" i="14"/>
  <c r="U697" i="14"/>
  <c r="U642" i="14"/>
  <c r="U738" i="14"/>
  <c r="U320" i="14"/>
  <c r="U357" i="14"/>
  <c r="U359" i="14"/>
  <c r="V531" i="14"/>
  <c r="U533" i="14"/>
  <c r="U535" i="14"/>
  <c r="T631" i="14"/>
  <c r="T633" i="14"/>
  <c r="T638" i="14"/>
  <c r="T640" i="14"/>
  <c r="T329" i="14"/>
  <c r="U628" i="14"/>
  <c r="U615" i="14"/>
  <c r="U617" i="14"/>
  <c r="U619" i="14"/>
  <c r="U624" i="14"/>
  <c r="U664" i="14"/>
  <c r="V611" i="14"/>
  <c r="U629" i="14"/>
  <c r="T540" i="14"/>
  <c r="T541" i="14"/>
  <c r="T574" i="14"/>
  <c r="T575" i="14"/>
  <c r="T484" i="14"/>
  <c r="U483" i="14"/>
  <c r="T102" i="9"/>
  <c r="T726" i="14"/>
  <c r="U96" i="9"/>
  <c r="R283" i="14"/>
  <c r="R315" i="14"/>
  <c r="R324" i="14"/>
  <c r="R687" i="14"/>
  <c r="R689" i="14"/>
  <c r="R284" i="14"/>
  <c r="R316" i="14"/>
  <c r="R325" i="14"/>
  <c r="R692" i="14"/>
  <c r="R694" i="14"/>
  <c r="T426" i="14"/>
  <c r="T94" i="14"/>
  <c r="T596" i="14"/>
  <c r="T512" i="14"/>
  <c r="T187" i="14"/>
  <c r="T294" i="14"/>
  <c r="U36" i="9"/>
  <c r="T149" i="14"/>
  <c r="T463" i="14"/>
  <c r="T113" i="14"/>
  <c r="T206" i="14"/>
  <c r="T605" i="14"/>
  <c r="T741" i="14"/>
  <c r="T764" i="14"/>
  <c r="T332" i="14"/>
  <c r="T657" i="14"/>
  <c r="T218" i="14"/>
  <c r="U47" i="9"/>
  <c r="U101" i="9"/>
  <c r="U102" i="9"/>
  <c r="T755" i="14"/>
  <c r="V49" i="9"/>
  <c r="U223" i="14"/>
  <c r="V98" i="9"/>
  <c r="U732" i="14"/>
  <c r="U233" i="14"/>
  <c r="V53" i="9"/>
  <c r="V37" i="9"/>
  <c r="U95" i="14"/>
  <c r="U83" i="9"/>
  <c r="T674" i="14"/>
  <c r="V247" i="14"/>
  <c r="V182" i="14"/>
  <c r="P746" i="14"/>
  <c r="P767" i="14"/>
  <c r="U266" i="14"/>
  <c r="S664" i="14"/>
  <c r="S640" i="14"/>
  <c r="S645" i="14"/>
  <c r="U215" i="14"/>
  <c r="V44" i="9"/>
  <c r="V59" i="9"/>
  <c r="U239" i="14"/>
  <c r="V60" i="9"/>
  <c r="U240" i="14"/>
  <c r="D729" i="14"/>
  <c r="T670" i="14"/>
  <c r="U79" i="9"/>
  <c r="V61" i="9"/>
  <c r="U241" i="14"/>
  <c r="V93" i="9"/>
  <c r="U693" i="14"/>
  <c r="W57" i="9"/>
  <c r="V237" i="14"/>
  <c r="G709" i="14"/>
  <c r="G698" i="14"/>
  <c r="L310" i="14"/>
  <c r="M321" i="14"/>
  <c r="P684" i="14"/>
  <c r="R259" i="14"/>
  <c r="AA580" i="14"/>
  <c r="Z581" i="14"/>
  <c r="Z587" i="14"/>
  <c r="Z593" i="14"/>
  <c r="N329" i="14"/>
  <c r="N643" i="14"/>
  <c r="N641" i="14"/>
  <c r="N645" i="14"/>
  <c r="X523" i="14"/>
  <c r="X525" i="14"/>
  <c r="Y521" i="14"/>
  <c r="T216" i="14"/>
  <c r="T219" i="14"/>
  <c r="T220" i="14"/>
  <c r="T221" i="14"/>
  <c r="T226" i="14"/>
  <c r="U45" i="9"/>
  <c r="V270" i="14"/>
  <c r="T253" i="14"/>
  <c r="T255" i="14"/>
  <c r="U67" i="9"/>
  <c r="O709" i="14"/>
  <c r="O698" i="14"/>
  <c r="O651" i="14"/>
  <c r="O653" i="14"/>
  <c r="O655" i="14"/>
  <c r="F653" i="14"/>
  <c r="I414" i="14"/>
  <c r="S248" i="14"/>
  <c r="S269" i="14"/>
  <c r="S271" i="14"/>
  <c r="T727" i="14"/>
  <c r="U97" i="9"/>
  <c r="D733" i="14"/>
  <c r="W62" i="9"/>
  <c r="V242" i="14"/>
  <c r="T756" i="14"/>
  <c r="S510" i="14"/>
  <c r="T641" i="14"/>
  <c r="O298" i="14"/>
  <c r="O306" i="14"/>
  <c r="O297" i="14"/>
  <c r="G744" i="14"/>
  <c r="G765" i="14"/>
  <c r="E728" i="14"/>
  <c r="E729" i="14"/>
  <c r="E731" i="14"/>
  <c r="E733" i="14"/>
  <c r="H330" i="14"/>
  <c r="J410" i="14"/>
  <c r="J411" i="14"/>
  <c r="J414" i="14"/>
  <c r="J416" i="14"/>
  <c r="J710" i="14"/>
  <c r="J711" i="14"/>
  <c r="V551" i="14"/>
  <c r="W545" i="14"/>
  <c r="R638" i="14"/>
  <c r="U472" i="14"/>
  <c r="T473" i="14"/>
  <c r="T479" i="14"/>
  <c r="H744" i="14"/>
  <c r="H765" i="14"/>
  <c r="M392" i="14"/>
  <c r="Q263" i="14"/>
  <c r="S265" i="14"/>
  <c r="S267" i="14"/>
  <c r="S228" i="14"/>
  <c r="N321" i="14"/>
  <c r="M310" i="14"/>
  <c r="U77" i="9"/>
  <c r="T668" i="14"/>
  <c r="S257" i="14"/>
  <c r="S273" i="14"/>
  <c r="S275" i="14"/>
  <c r="Y471" i="14"/>
  <c r="N388" i="14"/>
  <c r="N390" i="14"/>
  <c r="O746" i="14"/>
  <c r="O767" i="14"/>
  <c r="U234" i="14"/>
  <c r="V54" i="9"/>
  <c r="U80" i="9"/>
  <c r="T671" i="14"/>
  <c r="Q746" i="14"/>
  <c r="Q767" i="14"/>
  <c r="V539" i="14"/>
  <c r="T289" i="14"/>
  <c r="T290" i="14"/>
  <c r="T292" i="14"/>
  <c r="U71" i="9"/>
  <c r="W614" i="14"/>
  <c r="S678" i="14"/>
  <c r="U256" i="14"/>
  <c r="U183" i="14"/>
  <c r="U185" i="14"/>
  <c r="U501" i="14"/>
  <c r="U503" i="14"/>
  <c r="V498" i="14"/>
  <c r="U87" i="9"/>
  <c r="T683" i="14"/>
  <c r="X458" i="14"/>
  <c r="X460" i="14"/>
  <c r="M665" i="14"/>
  <c r="M679" i="14"/>
  <c r="Y519" i="14"/>
  <c r="Z517" i="14"/>
  <c r="P692" i="14"/>
  <c r="U43" i="9"/>
  <c r="T214" i="14"/>
  <c r="Z433" i="14"/>
  <c r="Y434" i="14"/>
  <c r="Y440" i="14"/>
  <c r="Y453" i="14"/>
  <c r="U76" i="9"/>
  <c r="T667" i="14"/>
  <c r="X527" i="14"/>
  <c r="W529" i="14"/>
  <c r="V55" i="9"/>
  <c r="U235" i="14"/>
  <c r="N665" i="14"/>
  <c r="N679" i="14"/>
  <c r="N696" i="14"/>
  <c r="R624" i="14"/>
  <c r="T669" i="14"/>
  <c r="U78" i="9"/>
  <c r="V56" i="9"/>
  <c r="U236" i="14"/>
  <c r="W373" i="14"/>
  <c r="V377" i="14"/>
  <c r="V378" i="14"/>
  <c r="V414" i="14"/>
  <c r="V416" i="14"/>
  <c r="V710" i="14"/>
  <c r="V385" i="14"/>
  <c r="V389" i="14"/>
  <c r="V404" i="14"/>
  <c r="V408" i="14"/>
  <c r="P277" i="14"/>
  <c r="P280" i="14"/>
  <c r="P282" i="14"/>
  <c r="P313" i="14"/>
  <c r="P323" i="14"/>
  <c r="V477" i="14"/>
  <c r="W475" i="14"/>
  <c r="T245" i="14"/>
  <c r="T246" i="14"/>
  <c r="V81" i="9"/>
  <c r="U672" i="14"/>
  <c r="Q318" i="14"/>
  <c r="Q652" i="14"/>
  <c r="Q324" i="14"/>
  <c r="Q687" i="14"/>
  <c r="Q689" i="14"/>
  <c r="W559" i="14"/>
  <c r="X555" i="14"/>
  <c r="U63" i="9"/>
  <c r="T243" i="14"/>
  <c r="T274" i="14"/>
  <c r="S302" i="14"/>
  <c r="S303" i="14"/>
  <c r="S317" i="14"/>
  <c r="S326" i="14"/>
  <c r="S682" i="14"/>
  <c r="S684" i="14"/>
  <c r="F719" i="14"/>
  <c r="H710" i="14"/>
  <c r="U756" i="21"/>
  <c r="U756" i="20"/>
  <c r="T228" i="21"/>
  <c r="T265" i="21"/>
  <c r="T267" i="21"/>
  <c r="U674" i="21"/>
  <c r="U674" i="20"/>
  <c r="U683" i="21"/>
  <c r="U683" i="20"/>
  <c r="U668" i="21"/>
  <c r="U668" i="20"/>
  <c r="U670" i="20"/>
  <c r="U671" i="20"/>
  <c r="U678" i="20"/>
  <c r="V672" i="21"/>
  <c r="V672" i="20"/>
  <c r="W237" i="21"/>
  <c r="W237" i="20"/>
  <c r="V215" i="21"/>
  <c r="V215" i="20"/>
  <c r="V95" i="21"/>
  <c r="V95" i="20"/>
  <c r="U673" i="20"/>
  <c r="U673" i="21"/>
  <c r="V82" i="9"/>
  <c r="U673" i="14"/>
  <c r="U596" i="21"/>
  <c r="U657" i="21"/>
  <c r="U512" i="21"/>
  <c r="U605" i="21"/>
  <c r="U741" i="21"/>
  <c r="U463" i="21"/>
  <c r="U332" i="21"/>
  <c r="U149" i="21"/>
  <c r="U94" i="21"/>
  <c r="U294" i="21"/>
  <c r="U113" i="21"/>
  <c r="U605" i="20"/>
  <c r="U187" i="21"/>
  <c r="U426" i="21"/>
  <c r="U764" i="21"/>
  <c r="U741" i="20"/>
  <c r="U206" i="21"/>
  <c r="U764" i="20"/>
  <c r="U426" i="20"/>
  <c r="U463" i="20"/>
  <c r="U657" i="20"/>
  <c r="U294" i="20"/>
  <c r="U206" i="20"/>
  <c r="U596" i="20"/>
  <c r="U512" i="20"/>
  <c r="U332" i="20"/>
  <c r="U94" i="20"/>
  <c r="U187" i="20"/>
  <c r="U149" i="20"/>
  <c r="U113" i="20"/>
  <c r="V236" i="21"/>
  <c r="V236" i="20"/>
  <c r="U671" i="21"/>
  <c r="S324" i="21"/>
  <c r="S687" i="21"/>
  <c r="S689" i="21"/>
  <c r="T302" i="21"/>
  <c r="T303" i="21"/>
  <c r="T317" i="21"/>
  <c r="T326" i="21"/>
  <c r="T682" i="21"/>
  <c r="T684" i="21"/>
  <c r="U669" i="21"/>
  <c r="U669" i="20"/>
  <c r="V234" i="21"/>
  <c r="V233" i="21"/>
  <c r="V245" i="21"/>
  <c r="V246" i="21"/>
  <c r="V234" i="20"/>
  <c r="V233" i="20"/>
  <c r="V245" i="20"/>
  <c r="V246" i="20"/>
  <c r="U253" i="21"/>
  <c r="U254" i="21"/>
  <c r="U255" i="21"/>
  <c r="U253" i="20"/>
  <c r="U254" i="20"/>
  <c r="U255" i="20"/>
  <c r="U257" i="20"/>
  <c r="U273" i="20"/>
  <c r="U275" i="20"/>
  <c r="U284" i="20"/>
  <c r="V693" i="20"/>
  <c r="V693" i="21"/>
  <c r="U238" i="21"/>
  <c r="U238" i="20"/>
  <c r="V58" i="9"/>
  <c r="U238" i="14"/>
  <c r="S259" i="21"/>
  <c r="S263" i="21"/>
  <c r="V239" i="21"/>
  <c r="V239" i="20"/>
  <c r="W242" i="21"/>
  <c r="W242" i="20"/>
  <c r="V241" i="21"/>
  <c r="V241" i="20"/>
  <c r="T678" i="20"/>
  <c r="S284" i="21"/>
  <c r="S316" i="21"/>
  <c r="S325" i="21"/>
  <c r="S692" i="21"/>
  <c r="S694" i="21"/>
  <c r="U667" i="21"/>
  <c r="U667" i="20"/>
  <c r="T248" i="21"/>
  <c r="T269" i="21"/>
  <c r="T271" i="21"/>
  <c r="T678" i="21"/>
  <c r="U243" i="21"/>
  <c r="U243" i="20"/>
  <c r="V732" i="21"/>
  <c r="V732" i="20"/>
  <c r="U254" i="14"/>
  <c r="V68" i="9"/>
  <c r="T273" i="21"/>
  <c r="T275" i="21"/>
  <c r="T257" i="21"/>
  <c r="T284" i="21"/>
  <c r="T316" i="21"/>
  <c r="T325" i="21"/>
  <c r="T692" i="21"/>
  <c r="T694" i="21"/>
  <c r="U675" i="21"/>
  <c r="U675" i="20"/>
  <c r="U675" i="14"/>
  <c r="V84" i="9"/>
  <c r="U217" i="21"/>
  <c r="U216" i="21"/>
  <c r="U219" i="21"/>
  <c r="U220" i="21"/>
  <c r="U221" i="21"/>
  <c r="U226" i="21"/>
  <c r="U217" i="20"/>
  <c r="U216" i="20"/>
  <c r="U219" i="20"/>
  <c r="U220" i="20"/>
  <c r="U221" i="20"/>
  <c r="U226" i="20"/>
  <c r="U217" i="14"/>
  <c r="V46" i="9"/>
  <c r="U755" i="21"/>
  <c r="U755" i="20"/>
  <c r="U289" i="21"/>
  <c r="U290" i="21"/>
  <c r="U292" i="21"/>
  <c r="U289" i="20"/>
  <c r="U290" i="20"/>
  <c r="U292" i="20"/>
  <c r="U302" i="20"/>
  <c r="U726" i="21"/>
  <c r="U726" i="20"/>
  <c r="U688" i="21"/>
  <c r="U688" i="20"/>
  <c r="V90" i="9"/>
  <c r="U688" i="14"/>
  <c r="U218" i="21"/>
  <c r="U218" i="20"/>
  <c r="U214" i="21"/>
  <c r="U214" i="20"/>
  <c r="V235" i="21"/>
  <c r="V235" i="20"/>
  <c r="V223" i="21"/>
  <c r="V223" i="20"/>
  <c r="S318" i="20"/>
  <c r="S652" i="20"/>
  <c r="R318" i="21"/>
  <c r="R652" i="21"/>
  <c r="R324" i="21"/>
  <c r="R687" i="21"/>
  <c r="R689" i="21"/>
  <c r="U670" i="21"/>
  <c r="U727" i="21"/>
  <c r="U727" i="20"/>
  <c r="V240" i="21"/>
  <c r="V240" i="20"/>
  <c r="T756" i="21"/>
  <c r="T756" i="20"/>
  <c r="U245" i="21"/>
  <c r="U246" i="21"/>
  <c r="Y227" i="21"/>
  <c r="Y676" i="21"/>
  <c r="Y677" i="21"/>
  <c r="Z100" i="21"/>
  <c r="Z98" i="21"/>
  <c r="Y642" i="21"/>
  <c r="Y357" i="21"/>
  <c r="Y359" i="21"/>
  <c r="Y648" i="21"/>
  <c r="Y738" i="21"/>
  <c r="Y697" i="21"/>
  <c r="Y320" i="21"/>
  <c r="Z270" i="21"/>
  <c r="AA107" i="21"/>
  <c r="AD101" i="21"/>
  <c r="AD247" i="21"/>
  <c r="AC247" i="21"/>
  <c r="AB256" i="21"/>
  <c r="AC102" i="21"/>
  <c r="AA108" i="21"/>
  <c r="Z274" i="21"/>
  <c r="AB106" i="21"/>
  <c r="AA266" i="21"/>
  <c r="X766" i="21"/>
  <c r="X745" i="21"/>
  <c r="AB103" i="21"/>
  <c r="AA291" i="21"/>
  <c r="AB227" i="20"/>
  <c r="AB676" i="20"/>
  <c r="AB677" i="20"/>
  <c r="AC100" i="20"/>
  <c r="S324" i="20"/>
  <c r="S687" i="20"/>
  <c r="S689" i="20"/>
  <c r="AB102" i="20"/>
  <c r="AA256" i="20"/>
  <c r="AC101" i="20"/>
  <c r="AB247" i="20"/>
  <c r="AA103" i="20"/>
  <c r="Z291" i="20"/>
  <c r="X541" i="21"/>
  <c r="Y539" i="21"/>
  <c r="Z540" i="21"/>
  <c r="AA483" i="21"/>
  <c r="P310" i="21"/>
  <c r="Q321" i="21"/>
  <c r="X373" i="21"/>
  <c r="W385" i="21"/>
  <c r="W389" i="21"/>
  <c r="W377" i="21"/>
  <c r="W378" i="21"/>
  <c r="W414" i="21"/>
  <c r="W416" i="21"/>
  <c r="W710" i="21"/>
  <c r="W404" i="21"/>
  <c r="W408" i="21"/>
  <c r="M410" i="21"/>
  <c r="N407" i="21"/>
  <c r="N409" i="21"/>
  <c r="M411" i="21"/>
  <c r="M414" i="21"/>
  <c r="M416" i="21"/>
  <c r="M710" i="21"/>
  <c r="X212" i="21"/>
  <c r="W191" i="21"/>
  <c r="X168" i="21"/>
  <c r="X172" i="21"/>
  <c r="X183" i="21"/>
  <c r="X167" i="21"/>
  <c r="AA628" i="21"/>
  <c r="W301" i="21"/>
  <c r="W204" i="21"/>
  <c r="W632" i="21"/>
  <c r="O310" i="21"/>
  <c r="O311" i="21"/>
  <c r="P321" i="21"/>
  <c r="W654" i="21"/>
  <c r="W655" i="21"/>
  <c r="W181" i="21"/>
  <c r="W185" i="21"/>
  <c r="Z165" i="21"/>
  <c r="Y166" i="21"/>
  <c r="AD433" i="21"/>
  <c r="AD434" i="21"/>
  <c r="AC434" i="21"/>
  <c r="AC440" i="21"/>
  <c r="AC453" i="21"/>
  <c r="P767" i="21"/>
  <c r="P746" i="21"/>
  <c r="P651" i="21"/>
  <c r="P653" i="21"/>
  <c r="P655" i="21"/>
  <c r="R708" i="21"/>
  <c r="R649" i="21"/>
  <c r="R646" i="21"/>
  <c r="X200" i="21"/>
  <c r="Y287" i="21"/>
  <c r="X170" i="21"/>
  <c r="R277" i="21"/>
  <c r="R280" i="21"/>
  <c r="R282" i="21"/>
  <c r="R313" i="21"/>
  <c r="R323" i="21"/>
  <c r="R663" i="21"/>
  <c r="R665" i="21"/>
  <c r="R679" i="21"/>
  <c r="AB545" i="21"/>
  <c r="AA551" i="21"/>
  <c r="U638" i="21"/>
  <c r="Z179" i="21"/>
  <c r="Z184" i="21"/>
  <c r="AA177" i="21"/>
  <c r="Z178" i="21"/>
  <c r="F729" i="21"/>
  <c r="AB521" i="21"/>
  <c r="AA523" i="21"/>
  <c r="AA525" i="21"/>
  <c r="AB555" i="21"/>
  <c r="AA559" i="21"/>
  <c r="AB469" i="21"/>
  <c r="O746" i="21"/>
  <c r="O767" i="21"/>
  <c r="O651" i="21"/>
  <c r="O653" i="21"/>
  <c r="O655" i="21"/>
  <c r="Y179" i="21"/>
  <c r="Y184" i="21"/>
  <c r="AD614" i="21"/>
  <c r="Y615" i="21"/>
  <c r="Y617" i="21"/>
  <c r="Z611" i="21"/>
  <c r="Y629" i="21"/>
  <c r="Y631" i="21"/>
  <c r="O391" i="21"/>
  <c r="O392" i="21"/>
  <c r="G728" i="21"/>
  <c r="G729" i="21"/>
  <c r="G731" i="21"/>
  <c r="G733" i="21"/>
  <c r="T259" i="21"/>
  <c r="Q767" i="21"/>
  <c r="Q651" i="21"/>
  <c r="Q653" i="21"/>
  <c r="Q655" i="21"/>
  <c r="Q746" i="21"/>
  <c r="N765" i="21"/>
  <c r="N744" i="21"/>
  <c r="AB517" i="21"/>
  <c r="AA519" i="21"/>
  <c r="T664" i="21"/>
  <c r="T640" i="21"/>
  <c r="H720" i="21"/>
  <c r="I718" i="21"/>
  <c r="I719" i="21"/>
  <c r="H721" i="21"/>
  <c r="V269" i="21"/>
  <c r="V271" i="21"/>
  <c r="V248" i="21"/>
  <c r="E747" i="21"/>
  <c r="E748" i="21"/>
  <c r="E757" i="21"/>
  <c r="E768" i="21"/>
  <c r="D737" i="21"/>
  <c r="U296" i="21"/>
  <c r="U195" i="21"/>
  <c r="U618" i="21"/>
  <c r="Z527" i="21"/>
  <c r="Y529" i="21"/>
  <c r="Y535" i="21"/>
  <c r="X501" i="21"/>
  <c r="X503" i="21"/>
  <c r="Y498" i="21"/>
  <c r="W251" i="21"/>
  <c r="S643" i="21"/>
  <c r="S329" i="21"/>
  <c r="S641" i="21"/>
  <c r="S645" i="21"/>
  <c r="AC533" i="21"/>
  <c r="AD531" i="21"/>
  <c r="AD533" i="21"/>
  <c r="C533" i="21"/>
  <c r="V636" i="21"/>
  <c r="V633" i="21"/>
  <c r="V638" i="21"/>
  <c r="W224" i="21"/>
  <c r="AA475" i="21"/>
  <c r="Z477" i="21"/>
  <c r="M698" i="21"/>
  <c r="M709" i="21"/>
  <c r="Y482" i="21"/>
  <c r="X484" i="21"/>
  <c r="V296" i="21"/>
  <c r="V195" i="21"/>
  <c r="V618" i="21"/>
  <c r="X473" i="21"/>
  <c r="X479" i="21"/>
  <c r="Y471" i="21"/>
  <c r="O706" i="21"/>
  <c r="O328" i="21"/>
  <c r="O330" i="21"/>
  <c r="F733" i="21"/>
  <c r="AB460" i="21"/>
  <c r="AB458" i="21"/>
  <c r="W231" i="21"/>
  <c r="R638" i="20"/>
  <c r="R640" i="20"/>
  <c r="T315" i="20"/>
  <c r="T284" i="20"/>
  <c r="T316" i="20"/>
  <c r="T325" i="20"/>
  <c r="T692" i="20"/>
  <c r="T694" i="20"/>
  <c r="U185" i="20"/>
  <c r="S624" i="20"/>
  <c r="Y270" i="20"/>
  <c r="Z107" i="20"/>
  <c r="N311" i="20"/>
  <c r="N765" i="20"/>
  <c r="Z266" i="20"/>
  <c r="AA106" i="20"/>
  <c r="AA274" i="20"/>
  <c r="AB108" i="20"/>
  <c r="Z320" i="20"/>
  <c r="Z738" i="20"/>
  <c r="Z648" i="20"/>
  <c r="Z357" i="20"/>
  <c r="Z359" i="20"/>
  <c r="Z697" i="20"/>
  <c r="AA98" i="20"/>
  <c r="Z642" i="20"/>
  <c r="Y745" i="20"/>
  <c r="Y766" i="20"/>
  <c r="R643" i="20"/>
  <c r="R329" i="20"/>
  <c r="R641" i="20"/>
  <c r="R645" i="20"/>
  <c r="P709" i="20"/>
  <c r="P698" i="20"/>
  <c r="Z617" i="20"/>
  <c r="AA614" i="20"/>
  <c r="AC555" i="20"/>
  <c r="AB559" i="20"/>
  <c r="Z471" i="20"/>
  <c r="Y473" i="20"/>
  <c r="G731" i="20"/>
  <c r="G733" i="20"/>
  <c r="G728" i="20"/>
  <c r="G729" i="20"/>
  <c r="Y484" i="20"/>
  <c r="Z482" i="20"/>
  <c r="X385" i="20"/>
  <c r="X389" i="20"/>
  <c r="Y373" i="20"/>
  <c r="X377" i="20"/>
  <c r="X378" i="20"/>
  <c r="X414" i="20"/>
  <c r="X416" i="20"/>
  <c r="X710" i="20"/>
  <c r="X404" i="20"/>
  <c r="X408" i="20"/>
  <c r="N706" i="20"/>
  <c r="N328" i="20"/>
  <c r="N330" i="20"/>
  <c r="T265" i="20"/>
  <c r="T267" i="20"/>
  <c r="T228" i="20"/>
  <c r="Z529" i="20"/>
  <c r="AA527" i="20"/>
  <c r="Y458" i="20"/>
  <c r="Y460" i="20"/>
  <c r="P321" i="20"/>
  <c r="O310" i="20"/>
  <c r="O311" i="20"/>
  <c r="M744" i="20"/>
  <c r="M765" i="20"/>
  <c r="V224" i="20"/>
  <c r="Z521" i="20"/>
  <c r="Y523" i="20"/>
  <c r="Y525" i="20"/>
  <c r="Z434" i="20"/>
  <c r="Z440" i="20"/>
  <c r="Z453" i="20"/>
  <c r="M330" i="20"/>
  <c r="E768" i="20"/>
  <c r="E747" i="20"/>
  <c r="E748" i="20"/>
  <c r="E757" i="20"/>
  <c r="AC519" i="20"/>
  <c r="AD517" i="20"/>
  <c r="AD519" i="20"/>
  <c r="T636" i="20"/>
  <c r="T633" i="20"/>
  <c r="S259" i="20"/>
  <c r="S664" i="20"/>
  <c r="S640" i="20"/>
  <c r="J651" i="20"/>
  <c r="P643" i="20"/>
  <c r="P329" i="20"/>
  <c r="P641" i="20"/>
  <c r="P645" i="20"/>
  <c r="AA629" i="20"/>
  <c r="AA631" i="20"/>
  <c r="AB611" i="20"/>
  <c r="AA615" i="20"/>
  <c r="F729" i="20"/>
  <c r="Q643" i="20"/>
  <c r="Q329" i="20"/>
  <c r="Q641" i="20"/>
  <c r="Q645" i="20"/>
  <c r="Z540" i="20"/>
  <c r="AA483" i="20"/>
  <c r="O706" i="20"/>
  <c r="O328" i="20"/>
  <c r="O330" i="20"/>
  <c r="U192" i="20"/>
  <c r="W287" i="20"/>
  <c r="V200" i="20"/>
  <c r="V201" i="20"/>
  <c r="F733" i="20"/>
  <c r="H721" i="20"/>
  <c r="H720" i="20"/>
  <c r="I718" i="20"/>
  <c r="I719" i="20"/>
  <c r="AB501" i="20"/>
  <c r="AB503" i="20"/>
  <c r="AC498" i="20"/>
  <c r="O391" i="20"/>
  <c r="O392" i="20"/>
  <c r="Y177" i="20"/>
  <c r="X178" i="20"/>
  <c r="X179" i="20"/>
  <c r="X184" i="20"/>
  <c r="L744" i="20"/>
  <c r="L765" i="20"/>
  <c r="X533" i="20"/>
  <c r="X535" i="20"/>
  <c r="Y531" i="20"/>
  <c r="V654" i="20"/>
  <c r="V655" i="20"/>
  <c r="V181" i="20"/>
  <c r="V185" i="20"/>
  <c r="W212" i="20"/>
  <c r="V191" i="20"/>
  <c r="W168" i="20"/>
  <c r="W172" i="20"/>
  <c r="W183" i="20"/>
  <c r="W167" i="20"/>
  <c r="W171" i="20"/>
  <c r="W182" i="20"/>
  <c r="D737" i="20"/>
  <c r="AC545" i="20"/>
  <c r="AB551" i="20"/>
  <c r="W179" i="20"/>
  <c r="W184" i="20"/>
  <c r="V231" i="20"/>
  <c r="Y475" i="20"/>
  <c r="X477" i="20"/>
  <c r="X479" i="20"/>
  <c r="X492" i="20"/>
  <c r="X494" i="20"/>
  <c r="X509" i="20"/>
  <c r="T195" i="20"/>
  <c r="T618" i="20"/>
  <c r="T296" i="20"/>
  <c r="AC628" i="20"/>
  <c r="W170" i="20"/>
  <c r="U201" i="20"/>
  <c r="Z469" i="20"/>
  <c r="O708" i="20"/>
  <c r="O649" i="20"/>
  <c r="O646" i="20"/>
  <c r="Y165" i="20"/>
  <c r="X166" i="20"/>
  <c r="M407" i="20"/>
  <c r="M409" i="20"/>
  <c r="Q277" i="20"/>
  <c r="Q280" i="20"/>
  <c r="Q282" i="20"/>
  <c r="Q313" i="20"/>
  <c r="Q323" i="20"/>
  <c r="Q663" i="20"/>
  <c r="Q665" i="20"/>
  <c r="Q679" i="20"/>
  <c r="Q696" i="20"/>
  <c r="U269" i="20"/>
  <c r="U271" i="20"/>
  <c r="U248" i="20"/>
  <c r="V251" i="20"/>
  <c r="J711" i="20"/>
  <c r="R277" i="20"/>
  <c r="R280" i="20"/>
  <c r="R282" i="20"/>
  <c r="R313" i="20"/>
  <c r="R323" i="20"/>
  <c r="R663" i="20"/>
  <c r="R665" i="20"/>
  <c r="R679" i="20"/>
  <c r="R696" i="20"/>
  <c r="Y541" i="20"/>
  <c r="Z539" i="20"/>
  <c r="O696" i="20"/>
  <c r="U245" i="14"/>
  <c r="U246" i="14"/>
  <c r="T492" i="14"/>
  <c r="T494" i="14"/>
  <c r="T509" i="14"/>
  <c r="C574" i="14"/>
  <c r="C575" i="14"/>
  <c r="Y291" i="14"/>
  <c r="Y184" i="14"/>
  <c r="R318" i="14"/>
  <c r="R652" i="14"/>
  <c r="W227" i="14"/>
  <c r="W181" i="14"/>
  <c r="W676" i="14"/>
  <c r="W677" i="14"/>
  <c r="V533" i="14"/>
  <c r="V535" i="14"/>
  <c r="W531" i="14"/>
  <c r="U766" i="14"/>
  <c r="U745" i="14"/>
  <c r="V648" i="14"/>
  <c r="V357" i="14"/>
  <c r="V359" i="14"/>
  <c r="V738" i="14"/>
  <c r="V697" i="14"/>
  <c r="V642" i="14"/>
  <c r="V320" i="14"/>
  <c r="V483" i="14"/>
  <c r="U540" i="14"/>
  <c r="U541" i="14"/>
  <c r="U484" i="14"/>
  <c r="W611" i="14"/>
  <c r="V629" i="14"/>
  <c r="V615" i="14"/>
  <c r="V617" i="14"/>
  <c r="V619" i="14"/>
  <c r="V624" i="14"/>
  <c r="V664" i="14"/>
  <c r="T643" i="14"/>
  <c r="V628" i="14"/>
  <c r="U631" i="14"/>
  <c r="U633" i="14"/>
  <c r="U638" i="14"/>
  <c r="U640" i="14"/>
  <c r="U329" i="14"/>
  <c r="V96" i="9"/>
  <c r="U726" i="14"/>
  <c r="U94" i="14"/>
  <c r="U764" i="14"/>
  <c r="U605" i="14"/>
  <c r="U149" i="14"/>
  <c r="U512" i="14"/>
  <c r="U741" i="14"/>
  <c r="U426" i="14"/>
  <c r="U463" i="14"/>
  <c r="U294" i="14"/>
  <c r="U187" i="14"/>
  <c r="U113" i="14"/>
  <c r="U657" i="14"/>
  <c r="V36" i="9"/>
  <c r="U206" i="14"/>
  <c r="U332" i="14"/>
  <c r="U596" i="14"/>
  <c r="U218" i="14"/>
  <c r="V47" i="9"/>
  <c r="V732" i="14"/>
  <c r="W98" i="9"/>
  <c r="U674" i="14"/>
  <c r="V83" i="9"/>
  <c r="S283" i="14"/>
  <c r="S315" i="14"/>
  <c r="S324" i="14"/>
  <c r="S687" i="14"/>
  <c r="S689" i="14"/>
  <c r="W49" i="9"/>
  <c r="V223" i="14"/>
  <c r="V233" i="14"/>
  <c r="W53" i="9"/>
  <c r="E735" i="14"/>
  <c r="E737" i="14"/>
  <c r="E739" i="14"/>
  <c r="E768" i="14"/>
  <c r="W37" i="9"/>
  <c r="V95" i="14"/>
  <c r="V101" i="9"/>
  <c r="U755" i="14"/>
  <c r="T265" i="14"/>
  <c r="T267" i="14"/>
  <c r="T228" i="14"/>
  <c r="N709" i="14"/>
  <c r="N698" i="14"/>
  <c r="T248" i="14"/>
  <c r="T269" i="14"/>
  <c r="T271" i="14"/>
  <c r="P663" i="14"/>
  <c r="V87" i="9"/>
  <c r="U683" i="14"/>
  <c r="U253" i="14"/>
  <c r="U255" i="14"/>
  <c r="V67" i="9"/>
  <c r="G651" i="14"/>
  <c r="D735" i="14"/>
  <c r="M311" i="14"/>
  <c r="L311" i="14"/>
  <c r="Z521" i="14"/>
  <c r="Y523" i="14"/>
  <c r="Y525" i="14"/>
  <c r="P298" i="14"/>
  <c r="P306" i="14"/>
  <c r="P297" i="14"/>
  <c r="P694" i="14"/>
  <c r="V501" i="14"/>
  <c r="V503" i="14"/>
  <c r="W498" i="14"/>
  <c r="T302" i="14"/>
  <c r="T303" i="14"/>
  <c r="T317" i="14"/>
  <c r="T326" i="14"/>
  <c r="T682" i="14"/>
  <c r="T684" i="14"/>
  <c r="S329" i="14"/>
  <c r="S643" i="14"/>
  <c r="S641" i="14"/>
  <c r="W81" i="9"/>
  <c r="V672" i="14"/>
  <c r="V63" i="9"/>
  <c r="U243" i="14"/>
  <c r="W477" i="14"/>
  <c r="X475" i="14"/>
  <c r="Y458" i="14"/>
  <c r="Y460" i="14"/>
  <c r="T678" i="14"/>
  <c r="Q277" i="14"/>
  <c r="Q280" i="14"/>
  <c r="Q282" i="14"/>
  <c r="Q313" i="14"/>
  <c r="Q323" i="14"/>
  <c r="Q663" i="14"/>
  <c r="Q665" i="14"/>
  <c r="Q679" i="14"/>
  <c r="Q696" i="14"/>
  <c r="G711" i="14"/>
  <c r="W59" i="9"/>
  <c r="V239" i="14"/>
  <c r="AA433" i="14"/>
  <c r="Z434" i="14"/>
  <c r="Z440" i="14"/>
  <c r="Z453" i="14"/>
  <c r="V80" i="9"/>
  <c r="U671" i="14"/>
  <c r="U668" i="14"/>
  <c r="V77" i="9"/>
  <c r="S708" i="14"/>
  <c r="S649" i="14"/>
  <c r="S646" i="14"/>
  <c r="T257" i="14"/>
  <c r="T273" i="14"/>
  <c r="T275" i="14"/>
  <c r="V266" i="14"/>
  <c r="U289" i="14"/>
  <c r="U290" i="14"/>
  <c r="U292" i="14"/>
  <c r="V71" i="9"/>
  <c r="O321" i="14"/>
  <c r="N310" i="14"/>
  <c r="N311" i="14"/>
  <c r="N708" i="14"/>
  <c r="N649" i="14"/>
  <c r="N646" i="14"/>
  <c r="R263" i="14"/>
  <c r="W247" i="14"/>
  <c r="W182" i="14"/>
  <c r="W56" i="9"/>
  <c r="V236" i="14"/>
  <c r="V43" i="9"/>
  <c r="U214" i="14"/>
  <c r="U274" i="14"/>
  <c r="N391" i="14"/>
  <c r="O388" i="14"/>
  <c r="O390" i="14"/>
  <c r="K407" i="14"/>
  <c r="K409" i="14"/>
  <c r="W270" i="14"/>
  <c r="V215" i="14"/>
  <c r="W44" i="9"/>
  <c r="V76" i="9"/>
  <c r="U667" i="14"/>
  <c r="W377" i="14"/>
  <c r="W378" i="14"/>
  <c r="W414" i="14"/>
  <c r="W416" i="14"/>
  <c r="W710" i="14"/>
  <c r="W385" i="14"/>
  <c r="W389" i="14"/>
  <c r="X373" i="14"/>
  <c r="W404" i="14"/>
  <c r="W408" i="14"/>
  <c r="U669" i="14"/>
  <c r="V78" i="9"/>
  <c r="X529" i="14"/>
  <c r="Y527" i="14"/>
  <c r="AA517" i="14"/>
  <c r="Z519" i="14"/>
  <c r="M696" i="14"/>
  <c r="X614" i="14"/>
  <c r="V234" i="14"/>
  <c r="V245" i="14"/>
  <c r="V246" i="14"/>
  <c r="W54" i="9"/>
  <c r="Z471" i="14"/>
  <c r="S259" i="14"/>
  <c r="I416" i="14"/>
  <c r="W61" i="9"/>
  <c r="V241" i="14"/>
  <c r="Y555" i="14"/>
  <c r="X559" i="14"/>
  <c r="U756" i="14"/>
  <c r="W60" i="9"/>
  <c r="V240" i="14"/>
  <c r="W55" i="9"/>
  <c r="V235" i="14"/>
  <c r="V256" i="14"/>
  <c r="V183" i="14"/>
  <c r="V185" i="14"/>
  <c r="W539" i="14"/>
  <c r="H711" i="14"/>
  <c r="T510" i="14"/>
  <c r="T645" i="14"/>
  <c r="X62" i="9"/>
  <c r="W242" i="14"/>
  <c r="V97" i="9"/>
  <c r="U727" i="14"/>
  <c r="F655" i="14"/>
  <c r="X57" i="9"/>
  <c r="W237" i="14"/>
  <c r="W93" i="9"/>
  <c r="V693" i="14"/>
  <c r="F720" i="14"/>
  <c r="G718" i="14"/>
  <c r="F721" i="14"/>
  <c r="R640" i="14"/>
  <c r="R664" i="14"/>
  <c r="U269" i="14"/>
  <c r="U271" i="14"/>
  <c r="U248" i="14"/>
  <c r="S284" i="14"/>
  <c r="S316" i="14"/>
  <c r="S325" i="14"/>
  <c r="N706" i="14"/>
  <c r="N328" i="14"/>
  <c r="N330" i="14"/>
  <c r="V472" i="14"/>
  <c r="U473" i="14"/>
  <c r="U479" i="14"/>
  <c r="W551" i="14"/>
  <c r="X545" i="14"/>
  <c r="U216" i="14"/>
  <c r="U219" i="14"/>
  <c r="U220" i="14"/>
  <c r="U221" i="14"/>
  <c r="U226" i="14"/>
  <c r="V45" i="9"/>
  <c r="AA581" i="14"/>
  <c r="AA587" i="14"/>
  <c r="AA593" i="14"/>
  <c r="AB580" i="14"/>
  <c r="M706" i="14"/>
  <c r="M328" i="14"/>
  <c r="U670" i="14"/>
  <c r="V79" i="9"/>
  <c r="U265" i="20"/>
  <c r="U267" i="20"/>
  <c r="U228" i="20"/>
  <c r="U265" i="21"/>
  <c r="U267" i="21"/>
  <c r="U228" i="21"/>
  <c r="V596" i="21"/>
  <c r="V657" i="21"/>
  <c r="V512" i="21"/>
  <c r="V605" i="21"/>
  <c r="V426" i="21"/>
  <c r="V332" i="21"/>
  <c r="V294" i="21"/>
  <c r="V113" i="21"/>
  <c r="V187" i="21"/>
  <c r="V764" i="21"/>
  <c r="V741" i="21"/>
  <c r="V149" i="21"/>
  <c r="V463" i="21"/>
  <c r="V206" i="21"/>
  <c r="V764" i="20"/>
  <c r="V426" i="20"/>
  <c r="V463" i="20"/>
  <c r="V605" i="20"/>
  <c r="V741" i="20"/>
  <c r="V657" i="20"/>
  <c r="V294" i="20"/>
  <c r="V206" i="20"/>
  <c r="V512" i="20"/>
  <c r="V332" i="20"/>
  <c r="V94" i="20"/>
  <c r="V596" i="20"/>
  <c r="V94" i="21"/>
  <c r="V187" i="20"/>
  <c r="V149" i="20"/>
  <c r="V113" i="20"/>
  <c r="U248" i="21"/>
  <c r="U269" i="21"/>
  <c r="U271" i="21"/>
  <c r="V670" i="21"/>
  <c r="V670" i="20"/>
  <c r="W693" i="21"/>
  <c r="W693" i="20"/>
  <c r="W241" i="21"/>
  <c r="W241" i="20"/>
  <c r="V668" i="21"/>
  <c r="V674" i="21"/>
  <c r="V675" i="21"/>
  <c r="V678" i="21"/>
  <c r="V668" i="20"/>
  <c r="V675" i="20"/>
  <c r="W84" i="9"/>
  <c r="V675" i="14"/>
  <c r="V673" i="20"/>
  <c r="V673" i="21"/>
  <c r="W82" i="9"/>
  <c r="V673" i="14"/>
  <c r="U678" i="21"/>
  <c r="V674" i="20"/>
  <c r="V671" i="21"/>
  <c r="V671" i="20"/>
  <c r="V253" i="21"/>
  <c r="V254" i="21"/>
  <c r="V255" i="21"/>
  <c r="V253" i="20"/>
  <c r="V254" i="20"/>
  <c r="V255" i="20"/>
  <c r="V273" i="20"/>
  <c r="V275" i="20"/>
  <c r="V102" i="9"/>
  <c r="V756" i="14"/>
  <c r="V755" i="21"/>
  <c r="V755" i="20"/>
  <c r="U273" i="21"/>
  <c r="U275" i="21"/>
  <c r="U257" i="21"/>
  <c r="U284" i="21"/>
  <c r="U316" i="21"/>
  <c r="U325" i="21"/>
  <c r="U692" i="21"/>
  <c r="U694" i="21"/>
  <c r="U302" i="21"/>
  <c r="U303" i="21"/>
  <c r="U317" i="21"/>
  <c r="U326" i="21"/>
  <c r="U682" i="21"/>
  <c r="U684" i="21"/>
  <c r="V669" i="21"/>
  <c r="V669" i="20"/>
  <c r="V289" i="21"/>
  <c r="V290" i="21"/>
  <c r="V292" i="21"/>
  <c r="V289" i="20"/>
  <c r="V290" i="20"/>
  <c r="V292" i="20"/>
  <c r="V302" i="20"/>
  <c r="W68" i="9"/>
  <c r="V254" i="14"/>
  <c r="T283" i="21"/>
  <c r="T315" i="21"/>
  <c r="V214" i="21"/>
  <c r="V214" i="20"/>
  <c r="W95" i="21"/>
  <c r="W95" i="20"/>
  <c r="V216" i="21"/>
  <c r="V217" i="21"/>
  <c r="V219" i="21"/>
  <c r="V220" i="21"/>
  <c r="V221" i="21"/>
  <c r="V226" i="21"/>
  <c r="V216" i="20"/>
  <c r="V217" i="20"/>
  <c r="V219" i="20"/>
  <c r="V220" i="20"/>
  <c r="V221" i="20"/>
  <c r="V226" i="20"/>
  <c r="V218" i="21"/>
  <c r="V218" i="20"/>
  <c r="W233" i="21"/>
  <c r="W233" i="20"/>
  <c r="V243" i="21"/>
  <c r="V243" i="20"/>
  <c r="W235" i="21"/>
  <c r="W235" i="20"/>
  <c r="W672" i="21"/>
  <c r="W672" i="20"/>
  <c r="W46" i="9"/>
  <c r="V217" i="14"/>
  <c r="W732" i="21"/>
  <c r="W732" i="20"/>
  <c r="W240" i="21"/>
  <c r="W240" i="20"/>
  <c r="W236" i="21"/>
  <c r="W236" i="20"/>
  <c r="V726" i="21"/>
  <c r="V726" i="20"/>
  <c r="X237" i="21"/>
  <c r="X237" i="20"/>
  <c r="V727" i="21"/>
  <c r="V727" i="20"/>
  <c r="W234" i="21"/>
  <c r="W245" i="21"/>
  <c r="W246" i="21"/>
  <c r="W234" i="20"/>
  <c r="W245" i="20"/>
  <c r="W246" i="20"/>
  <c r="V683" i="21"/>
  <c r="V683" i="20"/>
  <c r="X242" i="21"/>
  <c r="X242" i="20"/>
  <c r="W239" i="21"/>
  <c r="W239" i="20"/>
  <c r="V667" i="21"/>
  <c r="V667" i="20"/>
  <c r="W215" i="21"/>
  <c r="W215" i="20"/>
  <c r="W223" i="21"/>
  <c r="W223" i="20"/>
  <c r="V688" i="21"/>
  <c r="V688" i="20"/>
  <c r="W90" i="9"/>
  <c r="V688" i="14"/>
  <c r="V238" i="21"/>
  <c r="V238" i="20"/>
  <c r="W58" i="9"/>
  <c r="V238" i="14"/>
  <c r="S318" i="21"/>
  <c r="S652" i="21"/>
  <c r="Z227" i="21"/>
  <c r="Z676" i="21"/>
  <c r="Z677" i="21"/>
  <c r="AA100" i="21"/>
  <c r="AC103" i="21"/>
  <c r="AB291" i="21"/>
  <c r="AA270" i="21"/>
  <c r="AB107" i="21"/>
  <c r="V283" i="21"/>
  <c r="V315" i="21"/>
  <c r="V324" i="21"/>
  <c r="V687" i="21"/>
  <c r="V689" i="21"/>
  <c r="AC106" i="21"/>
  <c r="AB266" i="21"/>
  <c r="AB108" i="21"/>
  <c r="AA274" i="21"/>
  <c r="AC256" i="21"/>
  <c r="AD102" i="21"/>
  <c r="AD256" i="21"/>
  <c r="Y745" i="21"/>
  <c r="Y766" i="21"/>
  <c r="Z648" i="21"/>
  <c r="Z738" i="21"/>
  <c r="Z697" i="21"/>
  <c r="Z320" i="21"/>
  <c r="AA98" i="21"/>
  <c r="Z642" i="21"/>
  <c r="Z357" i="21"/>
  <c r="Z359" i="21"/>
  <c r="AB103" i="20"/>
  <c r="AA291" i="20"/>
  <c r="T318" i="20"/>
  <c r="T652" i="20"/>
  <c r="AD101" i="20"/>
  <c r="AD247" i="20"/>
  <c r="AC247" i="20"/>
  <c r="AC102" i="20"/>
  <c r="AB256" i="20"/>
  <c r="AD100" i="20"/>
  <c r="AC227" i="20"/>
  <c r="AC676" i="20"/>
  <c r="AC677" i="20"/>
  <c r="N744" i="20"/>
  <c r="N410" i="21"/>
  <c r="O407" i="21"/>
  <c r="O409" i="21"/>
  <c r="N411" i="21"/>
  <c r="N414" i="21"/>
  <c r="N416" i="21"/>
  <c r="N710" i="21"/>
  <c r="N711" i="21"/>
  <c r="AC517" i="21"/>
  <c r="AB519" i="21"/>
  <c r="G735" i="21"/>
  <c r="G737" i="21"/>
  <c r="G739" i="21"/>
  <c r="S277" i="21"/>
  <c r="S280" i="21"/>
  <c r="S282" i="21"/>
  <c r="S313" i="21"/>
  <c r="S323" i="21"/>
  <c r="S663" i="21"/>
  <c r="S665" i="21"/>
  <c r="S679" i="21"/>
  <c r="S696" i="21"/>
  <c r="Y212" i="21"/>
  <c r="Y168" i="21"/>
  <c r="X191" i="21"/>
  <c r="Y167" i="21"/>
  <c r="Y172" i="21"/>
  <c r="Y183" i="21"/>
  <c r="Y171" i="21"/>
  <c r="Y182" i="21"/>
  <c r="AB628" i="21"/>
  <c r="V622" i="21"/>
  <c r="V619" i="21"/>
  <c r="V624" i="21"/>
  <c r="E770" i="21"/>
  <c r="E769" i="21"/>
  <c r="AA165" i="21"/>
  <c r="Z170" i="21"/>
  <c r="Z166" i="21"/>
  <c r="Y501" i="21"/>
  <c r="Y503" i="21"/>
  <c r="Z498" i="21"/>
  <c r="AC469" i="21"/>
  <c r="Y170" i="21"/>
  <c r="P388" i="21"/>
  <c r="P390" i="21"/>
  <c r="AB551" i="21"/>
  <c r="AC545" i="21"/>
  <c r="R767" i="21"/>
  <c r="R746" i="21"/>
  <c r="Y373" i="21"/>
  <c r="X385" i="21"/>
  <c r="X389" i="21"/>
  <c r="X377" i="21"/>
  <c r="X378" i="21"/>
  <c r="X414" i="21"/>
  <c r="X416" i="21"/>
  <c r="X710" i="21"/>
  <c r="X404" i="21"/>
  <c r="X408" i="21"/>
  <c r="AB475" i="21"/>
  <c r="AA477" i="21"/>
  <c r="Z482" i="21"/>
  <c r="Y484" i="21"/>
  <c r="R696" i="21"/>
  <c r="X231" i="21"/>
  <c r="Q706" i="21"/>
  <c r="Q328" i="21"/>
  <c r="Q330" i="21"/>
  <c r="AA527" i="21"/>
  <c r="Z529" i="21"/>
  <c r="Z535" i="21"/>
  <c r="Z629" i="21"/>
  <c r="Z631" i="21"/>
  <c r="AA611" i="21"/>
  <c r="Z615" i="21"/>
  <c r="Z617" i="21"/>
  <c r="AC555" i="21"/>
  <c r="AB559" i="21"/>
  <c r="R298" i="21"/>
  <c r="R306" i="21"/>
  <c r="R297" i="21"/>
  <c r="X171" i="21"/>
  <c r="X182" i="21"/>
  <c r="W269" i="21"/>
  <c r="W271" i="21"/>
  <c r="W248" i="21"/>
  <c r="M711" i="21"/>
  <c r="AA540" i="21"/>
  <c r="AB483" i="21"/>
  <c r="Z471" i="21"/>
  <c r="Y473" i="21"/>
  <c r="Y479" i="21"/>
  <c r="H728" i="21"/>
  <c r="H729" i="21"/>
  <c r="H731" i="21"/>
  <c r="H733" i="21"/>
  <c r="AC521" i="21"/>
  <c r="AB523" i="21"/>
  <c r="AB525" i="21"/>
  <c r="P706" i="21"/>
  <c r="P328" i="21"/>
  <c r="P330" i="21"/>
  <c r="X251" i="21"/>
  <c r="AA179" i="21"/>
  <c r="AA184" i="21"/>
  <c r="AB177" i="21"/>
  <c r="AA178" i="21"/>
  <c r="X492" i="21"/>
  <c r="X494" i="21"/>
  <c r="X509" i="21"/>
  <c r="M651" i="21"/>
  <c r="S708" i="21"/>
  <c r="S649" i="21"/>
  <c r="S646" i="21"/>
  <c r="U622" i="21"/>
  <c r="U619" i="21"/>
  <c r="U624" i="21"/>
  <c r="I721" i="21"/>
  <c r="I720" i="21"/>
  <c r="J718" i="21"/>
  <c r="J719" i="21"/>
  <c r="P311" i="21"/>
  <c r="X192" i="21"/>
  <c r="Z539" i="21"/>
  <c r="Y541" i="21"/>
  <c r="X201" i="21"/>
  <c r="O765" i="21"/>
  <c r="O744" i="21"/>
  <c r="T643" i="21"/>
  <c r="T329" i="21"/>
  <c r="T641" i="21"/>
  <c r="T645" i="21"/>
  <c r="T263" i="21"/>
  <c r="F735" i="21"/>
  <c r="X654" i="21"/>
  <c r="X655" i="21"/>
  <c r="X181" i="21"/>
  <c r="AC458" i="21"/>
  <c r="AC460" i="21"/>
  <c r="W636" i="21"/>
  <c r="W633" i="21"/>
  <c r="W638" i="21"/>
  <c r="X224" i="21"/>
  <c r="W192" i="21"/>
  <c r="D739" i="21"/>
  <c r="Y200" i="21"/>
  <c r="Y201" i="21"/>
  <c r="Z287" i="21"/>
  <c r="AD440" i="21"/>
  <c r="C434" i="21"/>
  <c r="T324" i="20"/>
  <c r="T687" i="20"/>
  <c r="T689" i="20"/>
  <c r="T638" i="20"/>
  <c r="Z270" i="20"/>
  <c r="AA107" i="20"/>
  <c r="AC108" i="20"/>
  <c r="AB274" i="20"/>
  <c r="AA266" i="20"/>
  <c r="AB106" i="20"/>
  <c r="AA738" i="20"/>
  <c r="AA648" i="20"/>
  <c r="AA357" i="20"/>
  <c r="AA359" i="20"/>
  <c r="AA697" i="20"/>
  <c r="AB98" i="20"/>
  <c r="AA642" i="20"/>
  <c r="AA320" i="20"/>
  <c r="Z766" i="20"/>
  <c r="Z745" i="20"/>
  <c r="G735" i="20"/>
  <c r="G737" i="20"/>
  <c r="G739" i="20"/>
  <c r="G768" i="20"/>
  <c r="V269" i="20"/>
  <c r="V271" i="20"/>
  <c r="V248" i="20"/>
  <c r="U283" i="20"/>
  <c r="U315" i="20"/>
  <c r="U296" i="20"/>
  <c r="U195" i="20"/>
  <c r="U618" i="20"/>
  <c r="S263" i="20"/>
  <c r="Z373" i="20"/>
  <c r="Y377" i="20"/>
  <c r="Y378" i="20"/>
  <c r="Y414" i="20"/>
  <c r="Y416" i="20"/>
  <c r="Y710" i="20"/>
  <c r="Y385" i="20"/>
  <c r="Y389" i="20"/>
  <c r="Y404" i="20"/>
  <c r="Y408" i="20"/>
  <c r="AA617" i="20"/>
  <c r="AB614" i="20"/>
  <c r="O746" i="20"/>
  <c r="O767" i="20"/>
  <c r="Z475" i="20"/>
  <c r="Y477" i="20"/>
  <c r="Y479" i="20"/>
  <c r="Y492" i="20"/>
  <c r="Y494" i="20"/>
  <c r="Y509" i="20"/>
  <c r="W224" i="20"/>
  <c r="Z523" i="20"/>
  <c r="Z525" i="20"/>
  <c r="AA521" i="20"/>
  <c r="AA434" i="20"/>
  <c r="AA440" i="20"/>
  <c r="AA453" i="20"/>
  <c r="Q709" i="20"/>
  <c r="Q698" i="20"/>
  <c r="P388" i="20"/>
  <c r="P390" i="20"/>
  <c r="F735" i="20"/>
  <c r="O709" i="20"/>
  <c r="O698" i="20"/>
  <c r="Q298" i="20"/>
  <c r="Q306" i="20"/>
  <c r="Q297" i="20"/>
  <c r="AA469" i="20"/>
  <c r="AC501" i="20"/>
  <c r="AC503" i="20"/>
  <c r="AD498" i="20"/>
  <c r="AD501" i="20"/>
  <c r="AD503" i="20"/>
  <c r="AA540" i="20"/>
  <c r="AB483" i="20"/>
  <c r="O744" i="20"/>
  <c r="O765" i="20"/>
  <c r="AA529" i="20"/>
  <c r="AB527" i="20"/>
  <c r="Z484" i="20"/>
  <c r="AA482" i="20"/>
  <c r="Y179" i="20"/>
  <c r="Y184" i="20"/>
  <c r="Z177" i="20"/>
  <c r="Y178" i="20"/>
  <c r="AA539" i="20"/>
  <c r="Z541" i="20"/>
  <c r="U301" i="20"/>
  <c r="U303" i="20"/>
  <c r="U317" i="20"/>
  <c r="U326" i="20"/>
  <c r="U682" i="20"/>
  <c r="U684" i="20"/>
  <c r="U204" i="20"/>
  <c r="U632" i="20"/>
  <c r="U316" i="20"/>
  <c r="U325" i="20"/>
  <c r="U692" i="20"/>
  <c r="U694" i="20"/>
  <c r="C519" i="20"/>
  <c r="M410" i="20"/>
  <c r="M411" i="20"/>
  <c r="M414" i="20"/>
  <c r="M416" i="20"/>
  <c r="M710" i="20"/>
  <c r="M711" i="20"/>
  <c r="W654" i="20"/>
  <c r="W655" i="20"/>
  <c r="W181" i="20"/>
  <c r="W185" i="20"/>
  <c r="AD545" i="20"/>
  <c r="AD551" i="20"/>
  <c r="AC551" i="20"/>
  <c r="Y533" i="20"/>
  <c r="Y535" i="20"/>
  <c r="Z531" i="20"/>
  <c r="Q649" i="20"/>
  <c r="Q708" i="20"/>
  <c r="Q646" i="20"/>
  <c r="J653" i="20"/>
  <c r="T259" i="20"/>
  <c r="R649" i="20"/>
  <c r="R708" i="20"/>
  <c r="R646" i="20"/>
  <c r="V301" i="20"/>
  <c r="V204" i="20"/>
  <c r="V632" i="20"/>
  <c r="R709" i="20"/>
  <c r="R698" i="20"/>
  <c r="X212" i="20"/>
  <c r="X167" i="20"/>
  <c r="X168" i="20"/>
  <c r="W191" i="20"/>
  <c r="AD628" i="20"/>
  <c r="D739" i="20"/>
  <c r="I720" i="20"/>
  <c r="J718" i="20"/>
  <c r="J719" i="20"/>
  <c r="I721" i="20"/>
  <c r="R298" i="20"/>
  <c r="R306" i="20"/>
  <c r="R297" i="20"/>
  <c r="Z165" i="20"/>
  <c r="Y166" i="20"/>
  <c r="H731" i="20"/>
  <c r="H733" i="20"/>
  <c r="H728" i="20"/>
  <c r="AB629" i="20"/>
  <c r="AB631" i="20"/>
  <c r="AC611" i="20"/>
  <c r="AB615" i="20"/>
  <c r="U259" i="20"/>
  <c r="E770" i="20"/>
  <c r="E769" i="20"/>
  <c r="P706" i="20"/>
  <c r="P328" i="20"/>
  <c r="P330" i="20"/>
  <c r="X170" i="20"/>
  <c r="AA471" i="20"/>
  <c r="Z473" i="20"/>
  <c r="T622" i="20"/>
  <c r="T619" i="20"/>
  <c r="W231" i="20"/>
  <c r="P708" i="20"/>
  <c r="P649" i="20"/>
  <c r="P646" i="20"/>
  <c r="S643" i="20"/>
  <c r="S329" i="20"/>
  <c r="S641" i="20"/>
  <c r="S645" i="20"/>
  <c r="V192" i="20"/>
  <c r="V257" i="20"/>
  <c r="W251" i="20"/>
  <c r="X287" i="20"/>
  <c r="W200" i="20"/>
  <c r="W201" i="20"/>
  <c r="Z458" i="20"/>
  <c r="Z460" i="20"/>
  <c r="AD555" i="20"/>
  <c r="AD559" i="20"/>
  <c r="AC559" i="20"/>
  <c r="U643" i="14"/>
  <c r="U492" i="14"/>
  <c r="U494" i="14"/>
  <c r="U509" i="14"/>
  <c r="U645" i="14"/>
  <c r="U649" i="14"/>
  <c r="Z291" i="14"/>
  <c r="Z184" i="14"/>
  <c r="X676" i="14"/>
  <c r="X677" i="14"/>
  <c r="X227" i="14"/>
  <c r="X181" i="14"/>
  <c r="V745" i="14"/>
  <c r="V766" i="14"/>
  <c r="W738" i="14"/>
  <c r="W320" i="14"/>
  <c r="W648" i="14"/>
  <c r="W357" i="14"/>
  <c r="W359" i="14"/>
  <c r="W697" i="14"/>
  <c r="W642" i="14"/>
  <c r="V631" i="14"/>
  <c r="V633" i="14"/>
  <c r="V638" i="14"/>
  <c r="V640" i="14"/>
  <c r="V329" i="14"/>
  <c r="W628" i="14"/>
  <c r="W629" i="14"/>
  <c r="W615" i="14"/>
  <c r="W617" i="14"/>
  <c r="W619" i="14"/>
  <c r="W624" i="14"/>
  <c r="W664" i="14"/>
  <c r="X611" i="14"/>
  <c r="W533" i="14"/>
  <c r="W535" i="14"/>
  <c r="X531" i="14"/>
  <c r="W483" i="14"/>
  <c r="V540" i="14"/>
  <c r="V541" i="14"/>
  <c r="V484" i="14"/>
  <c r="V726" i="14"/>
  <c r="W96" i="9"/>
  <c r="V218" i="14"/>
  <c r="W47" i="9"/>
  <c r="V764" i="14"/>
  <c r="V512" i="14"/>
  <c r="V605" i="14"/>
  <c r="V426" i="14"/>
  <c r="V332" i="14"/>
  <c r="V113" i="14"/>
  <c r="V149" i="14"/>
  <c r="V657" i="14"/>
  <c r="V187" i="14"/>
  <c r="V596" i="14"/>
  <c r="W36" i="9"/>
  <c r="V94" i="14"/>
  <c r="V294" i="14"/>
  <c r="V741" i="14"/>
  <c r="V206" i="14"/>
  <c r="V463" i="14"/>
  <c r="X37" i="9"/>
  <c r="W95" i="14"/>
  <c r="E747" i="14"/>
  <c r="E748" i="14"/>
  <c r="E757" i="14"/>
  <c r="X53" i="9"/>
  <c r="W233" i="14"/>
  <c r="W101" i="9"/>
  <c r="V755" i="14"/>
  <c r="V674" i="14"/>
  <c r="W83" i="9"/>
  <c r="T283" i="14"/>
  <c r="T315" i="14"/>
  <c r="T324" i="14"/>
  <c r="T687" i="14"/>
  <c r="T689" i="14"/>
  <c r="W732" i="14"/>
  <c r="X98" i="9"/>
  <c r="W223" i="14"/>
  <c r="X49" i="9"/>
  <c r="U265" i="14"/>
  <c r="U267" i="14"/>
  <c r="U228" i="14"/>
  <c r="Y62" i="9"/>
  <c r="X242" i="14"/>
  <c r="X81" i="9"/>
  <c r="W672" i="14"/>
  <c r="AC580" i="14"/>
  <c r="AB581" i="14"/>
  <c r="AB587" i="14"/>
  <c r="AB593" i="14"/>
  <c r="T708" i="14"/>
  <c r="T649" i="14"/>
  <c r="T646" i="14"/>
  <c r="X55" i="9"/>
  <c r="W235" i="14"/>
  <c r="V248" i="14"/>
  <c r="V269" i="14"/>
  <c r="V271" i="14"/>
  <c r="Y529" i="14"/>
  <c r="Z527" i="14"/>
  <c r="X56" i="9"/>
  <c r="W236" i="14"/>
  <c r="R277" i="14"/>
  <c r="R280" i="14"/>
  <c r="R282" i="14"/>
  <c r="R313" i="14"/>
  <c r="R323" i="14"/>
  <c r="R663" i="14"/>
  <c r="R665" i="14"/>
  <c r="R679" i="14"/>
  <c r="R696" i="14"/>
  <c r="S746" i="14"/>
  <c r="S767" i="14"/>
  <c r="X59" i="9"/>
  <c r="W239" i="14"/>
  <c r="Q298" i="14"/>
  <c r="Q306" i="14"/>
  <c r="Q297" i="14"/>
  <c r="G653" i="14"/>
  <c r="X539" i="14"/>
  <c r="W76" i="9"/>
  <c r="V667" i="14"/>
  <c r="Y475" i="14"/>
  <c r="X477" i="14"/>
  <c r="P665" i="14"/>
  <c r="P679" i="14"/>
  <c r="I710" i="14"/>
  <c r="I711" i="14"/>
  <c r="N392" i="14"/>
  <c r="W266" i="14"/>
  <c r="W77" i="9"/>
  <c r="V668" i="14"/>
  <c r="E770" i="14"/>
  <c r="E769" i="14"/>
  <c r="W256" i="14"/>
  <c r="W183" i="14"/>
  <c r="W185" i="14"/>
  <c r="Y559" i="14"/>
  <c r="Z555" i="14"/>
  <c r="Q709" i="14"/>
  <c r="Q698" i="14"/>
  <c r="Q651" i="14"/>
  <c r="Q653" i="14"/>
  <c r="Q655" i="14"/>
  <c r="W472" i="14"/>
  <c r="V473" i="14"/>
  <c r="V479" i="14"/>
  <c r="W693" i="14"/>
  <c r="X93" i="9"/>
  <c r="X60" i="9"/>
  <c r="W240" i="14"/>
  <c r="Y614" i="14"/>
  <c r="O391" i="14"/>
  <c r="O392" i="14"/>
  <c r="U678" i="14"/>
  <c r="W80" i="9"/>
  <c r="V671" i="14"/>
  <c r="X247" i="14"/>
  <c r="X182" i="14"/>
  <c r="N746" i="14"/>
  <c r="N767" i="14"/>
  <c r="N651" i="14"/>
  <c r="N653" i="14"/>
  <c r="N655" i="14"/>
  <c r="W501" i="14"/>
  <c r="W503" i="14"/>
  <c r="X498" i="14"/>
  <c r="P321" i="14"/>
  <c r="O310" i="14"/>
  <c r="O311" i="14"/>
  <c r="V253" i="14"/>
  <c r="V255" i="14"/>
  <c r="W67" i="9"/>
  <c r="V683" i="14"/>
  <c r="W87" i="9"/>
  <c r="X61" i="9"/>
  <c r="W241" i="14"/>
  <c r="S263" i="14"/>
  <c r="W215" i="14"/>
  <c r="X44" i="9"/>
  <c r="X270" i="14"/>
  <c r="V274" i="14"/>
  <c r="W43" i="9"/>
  <c r="V214" i="14"/>
  <c r="S318" i="14"/>
  <c r="S652" i="14"/>
  <c r="M330" i="14"/>
  <c r="N744" i="14"/>
  <c r="N765" i="14"/>
  <c r="F728" i="14"/>
  <c r="F731" i="14"/>
  <c r="V669" i="14"/>
  <c r="W78" i="9"/>
  <c r="T284" i="14"/>
  <c r="T316" i="14"/>
  <c r="T325" i="14"/>
  <c r="T692" i="14"/>
  <c r="T694" i="14"/>
  <c r="Z458" i="14"/>
  <c r="Z460" i="14"/>
  <c r="U273" i="14"/>
  <c r="U275" i="14"/>
  <c r="U257" i="14"/>
  <c r="U302" i="14"/>
  <c r="U303" i="14"/>
  <c r="U317" i="14"/>
  <c r="U326" i="14"/>
  <c r="U682" i="14"/>
  <c r="U684" i="14"/>
  <c r="V216" i="14"/>
  <c r="V219" i="14"/>
  <c r="V220" i="14"/>
  <c r="V221" i="14"/>
  <c r="V226" i="14"/>
  <c r="W45" i="9"/>
  <c r="R329" i="14"/>
  <c r="R643" i="14"/>
  <c r="R641" i="14"/>
  <c r="R645" i="14"/>
  <c r="AA471" i="14"/>
  <c r="M709" i="14"/>
  <c r="M698" i="14"/>
  <c r="V289" i="14"/>
  <c r="V290" i="14"/>
  <c r="V292" i="14"/>
  <c r="W71" i="9"/>
  <c r="AA434" i="14"/>
  <c r="AA440" i="14"/>
  <c r="AA453" i="14"/>
  <c r="AB433" i="14"/>
  <c r="W63" i="9"/>
  <c r="V243" i="14"/>
  <c r="T259" i="14"/>
  <c r="Y373" i="14"/>
  <c r="X385" i="14"/>
  <c r="X389" i="14"/>
  <c r="X377" i="14"/>
  <c r="X378" i="14"/>
  <c r="X414" i="14"/>
  <c r="X416" i="14"/>
  <c r="X710" i="14"/>
  <c r="X404" i="14"/>
  <c r="X408" i="14"/>
  <c r="W97" i="9"/>
  <c r="V727" i="14"/>
  <c r="S692" i="14"/>
  <c r="Y57" i="9"/>
  <c r="X237" i="14"/>
  <c r="O706" i="14"/>
  <c r="O328" i="14"/>
  <c r="O330" i="14"/>
  <c r="G719" i="14"/>
  <c r="L744" i="14"/>
  <c r="L765" i="14"/>
  <c r="D737" i="14"/>
  <c r="AA521" i="14"/>
  <c r="Z523" i="14"/>
  <c r="Z525" i="14"/>
  <c r="W79" i="9"/>
  <c r="V670" i="14"/>
  <c r="X551" i="14"/>
  <c r="Y545" i="14"/>
  <c r="U283" i="14"/>
  <c r="U315" i="14"/>
  <c r="W234" i="14"/>
  <c r="X54" i="9"/>
  <c r="AB517" i="14"/>
  <c r="AA519" i="14"/>
  <c r="K410" i="14"/>
  <c r="K411" i="14"/>
  <c r="K414" i="14"/>
  <c r="M744" i="14"/>
  <c r="M765" i="14"/>
  <c r="V265" i="20"/>
  <c r="V267" i="20"/>
  <c r="V228" i="20"/>
  <c r="V228" i="21"/>
  <c r="V257" i="21"/>
  <c r="V259" i="21"/>
  <c r="V265" i="21"/>
  <c r="V267" i="21"/>
  <c r="X234" i="21"/>
  <c r="X234" i="20"/>
  <c r="W669" i="21"/>
  <c r="W669" i="20"/>
  <c r="W688" i="21"/>
  <c r="W688" i="20"/>
  <c r="X90" i="9"/>
  <c r="W688" i="14"/>
  <c r="V273" i="21"/>
  <c r="V275" i="21"/>
  <c r="V284" i="21"/>
  <c r="V316" i="21"/>
  <c r="V325" i="21"/>
  <c r="V692" i="21"/>
  <c r="V694" i="21"/>
  <c r="Y242" i="21"/>
  <c r="Y242" i="20"/>
  <c r="W214" i="20"/>
  <c r="W214" i="21"/>
  <c r="X235" i="21"/>
  <c r="X235" i="20"/>
  <c r="W726" i="21"/>
  <c r="W726" i="20"/>
  <c r="X233" i="21"/>
  <c r="X233" i="20"/>
  <c r="W596" i="21"/>
  <c r="W657" i="21"/>
  <c r="W512" i="21"/>
  <c r="W605" i="21"/>
  <c r="W426" i="21"/>
  <c r="W332" i="21"/>
  <c r="W294" i="21"/>
  <c r="W764" i="21"/>
  <c r="W113" i="21"/>
  <c r="W94" i="21"/>
  <c r="W512" i="20"/>
  <c r="W187" i="21"/>
  <c r="W741" i="21"/>
  <c r="W149" i="21"/>
  <c r="W463" i="21"/>
  <c r="W206" i="21"/>
  <c r="W764" i="20"/>
  <c r="W426" i="20"/>
  <c r="W605" i="20"/>
  <c r="W463" i="20"/>
  <c r="W741" i="20"/>
  <c r="W657" i="20"/>
  <c r="W294" i="20"/>
  <c r="W332" i="20"/>
  <c r="W596" i="20"/>
  <c r="W94" i="20"/>
  <c r="W206" i="20"/>
  <c r="W149" i="20"/>
  <c r="W113" i="20"/>
  <c r="W187" i="20"/>
  <c r="V678" i="20"/>
  <c r="X223" i="21"/>
  <c r="X223" i="20"/>
  <c r="X239" i="21"/>
  <c r="X239" i="20"/>
  <c r="W216" i="21"/>
  <c r="W216" i="20"/>
  <c r="X95" i="21"/>
  <c r="X95" i="20"/>
  <c r="V303" i="20"/>
  <c r="V317" i="20"/>
  <c r="V326" i="20"/>
  <c r="V682" i="20"/>
  <c r="V684" i="20"/>
  <c r="W671" i="21"/>
  <c r="W671" i="20"/>
  <c r="X732" i="21"/>
  <c r="X732" i="20"/>
  <c r="W217" i="20"/>
  <c r="W219" i="20"/>
  <c r="W220" i="20"/>
  <c r="W221" i="20"/>
  <c r="T318" i="21"/>
  <c r="T652" i="21"/>
  <c r="T324" i="21"/>
  <c r="T687" i="21"/>
  <c r="T689" i="21"/>
  <c r="V756" i="21"/>
  <c r="V756" i="20"/>
  <c r="W102" i="9"/>
  <c r="W755" i="21"/>
  <c r="W755" i="20"/>
  <c r="X215" i="21"/>
  <c r="X215" i="20"/>
  <c r="Y237" i="21"/>
  <c r="Y237" i="20"/>
  <c r="W217" i="21"/>
  <c r="W219" i="21"/>
  <c r="W220" i="21"/>
  <c r="W221" i="21"/>
  <c r="W226" i="21"/>
  <c r="U259" i="21"/>
  <c r="U263" i="21"/>
  <c r="U277" i="21"/>
  <c r="U280" i="21"/>
  <c r="W253" i="21"/>
  <c r="W253" i="20"/>
  <c r="W675" i="20"/>
  <c r="W675" i="21"/>
  <c r="X84" i="9"/>
  <c r="W675" i="14"/>
  <c r="X236" i="21"/>
  <c r="X236" i="20"/>
  <c r="W289" i="21"/>
  <c r="W290" i="21"/>
  <c r="W292" i="21"/>
  <c r="W289" i="20"/>
  <c r="W290" i="20"/>
  <c r="W292" i="20"/>
  <c r="W302" i="20"/>
  <c r="X240" i="21"/>
  <c r="X240" i="20"/>
  <c r="W217" i="14"/>
  <c r="X46" i="9"/>
  <c r="W254" i="21"/>
  <c r="W254" i="20"/>
  <c r="W254" i="14"/>
  <c r="X68" i="9"/>
  <c r="W673" i="21"/>
  <c r="W673" i="20"/>
  <c r="X82" i="9"/>
  <c r="W673" i="14"/>
  <c r="V302" i="21"/>
  <c r="V303" i="21"/>
  <c r="V317" i="21"/>
  <c r="V326" i="21"/>
  <c r="V682" i="21"/>
  <c r="V684" i="21"/>
  <c r="X241" i="21"/>
  <c r="X241" i="20"/>
  <c r="X693" i="21"/>
  <c r="X693" i="20"/>
  <c r="X672" i="21"/>
  <c r="X672" i="20"/>
  <c r="W674" i="21"/>
  <c r="W674" i="20"/>
  <c r="W238" i="21"/>
  <c r="W238" i="20"/>
  <c r="X58" i="9"/>
  <c r="W238" i="14"/>
  <c r="U283" i="21"/>
  <c r="U315" i="21"/>
  <c r="W243" i="21"/>
  <c r="W243" i="20"/>
  <c r="W667" i="21"/>
  <c r="W667" i="20"/>
  <c r="W670" i="21"/>
  <c r="W670" i="20"/>
  <c r="W727" i="21"/>
  <c r="W727" i="20"/>
  <c r="W683" i="21"/>
  <c r="W683" i="20"/>
  <c r="W668" i="21"/>
  <c r="W668" i="20"/>
  <c r="W218" i="21"/>
  <c r="W218" i="20"/>
  <c r="AA227" i="21"/>
  <c r="AA676" i="21"/>
  <c r="AA677" i="21"/>
  <c r="AB100" i="21"/>
  <c r="Z745" i="21"/>
  <c r="Z766" i="21"/>
  <c r="AC108" i="21"/>
  <c r="AB274" i="21"/>
  <c r="AA648" i="21"/>
  <c r="AA738" i="21"/>
  <c r="AA697" i="21"/>
  <c r="AA320" i="21"/>
  <c r="AB98" i="21"/>
  <c r="AA642" i="21"/>
  <c r="AA357" i="21"/>
  <c r="AA359" i="21"/>
  <c r="AD106" i="21"/>
  <c r="AD266" i="21"/>
  <c r="AC266" i="21"/>
  <c r="AB270" i="21"/>
  <c r="AC107" i="21"/>
  <c r="W283" i="21"/>
  <c r="AD103" i="21"/>
  <c r="AD291" i="21"/>
  <c r="AC291" i="21"/>
  <c r="AD227" i="20"/>
  <c r="AD676" i="20"/>
  <c r="AD677" i="20"/>
  <c r="AD102" i="20"/>
  <c r="AD256" i="20"/>
  <c r="AC256" i="20"/>
  <c r="AC103" i="20"/>
  <c r="AB291" i="20"/>
  <c r="Y301" i="21"/>
  <c r="Y204" i="21"/>
  <c r="Y632" i="21"/>
  <c r="AA539" i="21"/>
  <c r="Z541" i="21"/>
  <c r="M653" i="21"/>
  <c r="S709" i="21"/>
  <c r="S698" i="21"/>
  <c r="S651" i="21"/>
  <c r="S653" i="21"/>
  <c r="S655" i="21"/>
  <c r="D747" i="21"/>
  <c r="D768" i="21"/>
  <c r="F737" i="21"/>
  <c r="X195" i="21"/>
  <c r="X618" i="21"/>
  <c r="X296" i="21"/>
  <c r="AC523" i="21"/>
  <c r="AC525" i="21"/>
  <c r="AD521" i="21"/>
  <c r="AD523" i="21"/>
  <c r="AD525" i="21"/>
  <c r="C525" i="21"/>
  <c r="V318" i="21"/>
  <c r="V652" i="21"/>
  <c r="AC551" i="21"/>
  <c r="AD545" i="21"/>
  <c r="AD551" i="21"/>
  <c r="C551" i="21"/>
  <c r="S298" i="21"/>
  <c r="S306" i="21"/>
  <c r="S297" i="21"/>
  <c r="Z501" i="21"/>
  <c r="Z503" i="21"/>
  <c r="AA498" i="21"/>
  <c r="W296" i="21"/>
  <c r="W195" i="21"/>
  <c r="W618" i="21"/>
  <c r="T277" i="21"/>
  <c r="T280" i="21"/>
  <c r="T282" i="21"/>
  <c r="T313" i="21"/>
  <c r="T323" i="21"/>
  <c r="T663" i="21"/>
  <c r="T665" i="21"/>
  <c r="T679" i="21"/>
  <c r="T696" i="21"/>
  <c r="P765" i="21"/>
  <c r="P744" i="21"/>
  <c r="W315" i="21"/>
  <c r="AA482" i="21"/>
  <c r="Z484" i="21"/>
  <c r="V664" i="21"/>
  <c r="V640" i="21"/>
  <c r="G768" i="21"/>
  <c r="G747" i="21"/>
  <c r="G748" i="21"/>
  <c r="G757" i="21"/>
  <c r="AA287" i="21"/>
  <c r="Z200" i="21"/>
  <c r="H735" i="21"/>
  <c r="H737" i="21"/>
  <c r="H739" i="21"/>
  <c r="P391" i="21"/>
  <c r="P392" i="21"/>
  <c r="T649" i="21"/>
  <c r="T708" i="21"/>
  <c r="T646" i="21"/>
  <c r="AC177" i="21"/>
  <c r="AB179" i="21"/>
  <c r="AB184" i="21"/>
  <c r="AB178" i="21"/>
  <c r="V263" i="21"/>
  <c r="AB527" i="21"/>
  <c r="AA529" i="21"/>
  <c r="AA535" i="21"/>
  <c r="Z212" i="21"/>
  <c r="Y191" i="21"/>
  <c r="Z167" i="21"/>
  <c r="Z168" i="21"/>
  <c r="AC628" i="21"/>
  <c r="AC519" i="21"/>
  <c r="AD517" i="21"/>
  <c r="AD519" i="21"/>
  <c r="Y224" i="21"/>
  <c r="AC475" i="21"/>
  <c r="AB477" i="21"/>
  <c r="I728" i="21"/>
  <c r="I731" i="21"/>
  <c r="I733" i="21"/>
  <c r="Y492" i="21"/>
  <c r="Y494" i="21"/>
  <c r="Y509" i="21"/>
  <c r="Y654" i="21"/>
  <c r="Y655" i="21"/>
  <c r="Y181" i="21"/>
  <c r="Y185" i="21"/>
  <c r="R709" i="21"/>
  <c r="R698" i="21"/>
  <c r="U664" i="21"/>
  <c r="U640" i="21"/>
  <c r="AB165" i="21"/>
  <c r="AA166" i="21"/>
  <c r="AA170" i="21"/>
  <c r="Z654" i="21"/>
  <c r="Z655" i="21"/>
  <c r="Z181" i="21"/>
  <c r="Z473" i="21"/>
  <c r="Z479" i="21"/>
  <c r="Z492" i="21"/>
  <c r="Z494" i="21"/>
  <c r="Z509" i="21"/>
  <c r="AA471" i="21"/>
  <c r="AD469" i="21"/>
  <c r="E771" i="21"/>
  <c r="Y231" i="21"/>
  <c r="AB540" i="21"/>
  <c r="AC483" i="21"/>
  <c r="AD555" i="21"/>
  <c r="AD559" i="21"/>
  <c r="C559" i="21"/>
  <c r="AC559" i="21"/>
  <c r="Y377" i="21"/>
  <c r="Y378" i="21"/>
  <c r="Y414" i="21"/>
  <c r="Y416" i="21"/>
  <c r="Y710" i="21"/>
  <c r="Z373" i="21"/>
  <c r="Y385" i="21"/>
  <c r="Y389" i="21"/>
  <c r="Y404" i="21"/>
  <c r="Y408" i="21"/>
  <c r="Y192" i="21"/>
  <c r="O410" i="21"/>
  <c r="P407" i="21"/>
  <c r="P409" i="21"/>
  <c r="O411" i="21"/>
  <c r="O414" i="21"/>
  <c r="O416" i="21"/>
  <c r="O710" i="21"/>
  <c r="O711" i="21"/>
  <c r="Z201" i="21"/>
  <c r="AA615" i="21"/>
  <c r="AA617" i="21"/>
  <c r="AA629" i="21"/>
  <c r="AA631" i="21"/>
  <c r="AB611" i="21"/>
  <c r="J721" i="21"/>
  <c r="J720" i="21"/>
  <c r="K718" i="21"/>
  <c r="K719" i="21"/>
  <c r="R321" i="21"/>
  <c r="Q310" i="21"/>
  <c r="AD453" i="21"/>
  <c r="C440" i="21"/>
  <c r="X185" i="21"/>
  <c r="X301" i="21"/>
  <c r="X204" i="21"/>
  <c r="X632" i="21"/>
  <c r="S767" i="21"/>
  <c r="S746" i="21"/>
  <c r="Y251" i="21"/>
  <c r="W226" i="20"/>
  <c r="V283" i="20"/>
  <c r="V315" i="20"/>
  <c r="AB107" i="20"/>
  <c r="AA270" i="20"/>
  <c r="V284" i="20"/>
  <c r="V316" i="20"/>
  <c r="V325" i="20"/>
  <c r="V692" i="20"/>
  <c r="V694" i="20"/>
  <c r="AC106" i="20"/>
  <c r="AB266" i="20"/>
  <c r="AD108" i="20"/>
  <c r="AD274" i="20"/>
  <c r="AC274" i="20"/>
  <c r="E771" i="20"/>
  <c r="G747" i="20"/>
  <c r="G748" i="20"/>
  <c r="G757" i="20"/>
  <c r="AB738" i="20"/>
  <c r="AB648" i="20"/>
  <c r="AB357" i="20"/>
  <c r="AB359" i="20"/>
  <c r="AB697" i="20"/>
  <c r="AB642" i="20"/>
  <c r="AB320" i="20"/>
  <c r="AC98" i="20"/>
  <c r="AA766" i="20"/>
  <c r="AA745" i="20"/>
  <c r="J720" i="20"/>
  <c r="K718" i="20"/>
  <c r="K719" i="20"/>
  <c r="J721" i="20"/>
  <c r="AA484" i="20"/>
  <c r="AB482" i="20"/>
  <c r="W265" i="20"/>
  <c r="W267" i="20"/>
  <c r="W228" i="20"/>
  <c r="AA373" i="20"/>
  <c r="Z385" i="20"/>
  <c r="Z389" i="20"/>
  <c r="Z377" i="20"/>
  <c r="Z378" i="20"/>
  <c r="Z414" i="20"/>
  <c r="Z416" i="20"/>
  <c r="Z710" i="20"/>
  <c r="Z404" i="20"/>
  <c r="Z408" i="20"/>
  <c r="AA473" i="20"/>
  <c r="AB471" i="20"/>
  <c r="Y212" i="20"/>
  <c r="X191" i="20"/>
  <c r="X192" i="20"/>
  <c r="Y168" i="20"/>
  <c r="Y167" i="20"/>
  <c r="Y171" i="20"/>
  <c r="Y182" i="20"/>
  <c r="Q767" i="20"/>
  <c r="Q746" i="20"/>
  <c r="Q651" i="20"/>
  <c r="Q653" i="20"/>
  <c r="Q655" i="20"/>
  <c r="AB469" i="20"/>
  <c r="P391" i="20"/>
  <c r="P392" i="20"/>
  <c r="W301" i="20"/>
  <c r="W204" i="20"/>
  <c r="W632" i="20"/>
  <c r="Y170" i="20"/>
  <c r="X251" i="20"/>
  <c r="Z533" i="20"/>
  <c r="AA531" i="20"/>
  <c r="AC527" i="20"/>
  <c r="AB529" i="20"/>
  <c r="S277" i="20"/>
  <c r="S280" i="20"/>
  <c r="S282" i="20"/>
  <c r="S313" i="20"/>
  <c r="S323" i="20"/>
  <c r="S663" i="20"/>
  <c r="S665" i="20"/>
  <c r="S679" i="20"/>
  <c r="P746" i="20"/>
  <c r="P767" i="20"/>
  <c r="P651" i="20"/>
  <c r="P653" i="20"/>
  <c r="P655" i="20"/>
  <c r="AA165" i="20"/>
  <c r="Z166" i="20"/>
  <c r="X172" i="20"/>
  <c r="X183" i="20"/>
  <c r="R746" i="20"/>
  <c r="R767" i="20"/>
  <c r="R651" i="20"/>
  <c r="R653" i="20"/>
  <c r="R655" i="20"/>
  <c r="P310" i="20"/>
  <c r="Q321" i="20"/>
  <c r="Z477" i="20"/>
  <c r="Z479" i="20"/>
  <c r="Z492" i="20"/>
  <c r="Z494" i="20"/>
  <c r="Z509" i="20"/>
  <c r="AA475" i="20"/>
  <c r="H729" i="20"/>
  <c r="X245" i="20"/>
  <c r="X246" i="20"/>
  <c r="X231" i="20"/>
  <c r="U636" i="20"/>
  <c r="U633" i="20"/>
  <c r="U638" i="20"/>
  <c r="U622" i="20"/>
  <c r="U619" i="20"/>
  <c r="X171" i="20"/>
  <c r="X182" i="20"/>
  <c r="G769" i="20"/>
  <c r="G770" i="20"/>
  <c r="C551" i="20"/>
  <c r="AA458" i="20"/>
  <c r="AA460" i="20"/>
  <c r="O651" i="20"/>
  <c r="F737" i="20"/>
  <c r="U263" i="20"/>
  <c r="Q310" i="20"/>
  <c r="R321" i="20"/>
  <c r="X224" i="20"/>
  <c r="AB434" i="20"/>
  <c r="AB440" i="20"/>
  <c r="AB453" i="20"/>
  <c r="W192" i="20"/>
  <c r="V636" i="20"/>
  <c r="V633" i="20"/>
  <c r="W269" i="20"/>
  <c r="W271" i="20"/>
  <c r="W248" i="20"/>
  <c r="I731" i="20"/>
  <c r="I733" i="20"/>
  <c r="I728" i="20"/>
  <c r="I729" i="20"/>
  <c r="T263" i="20"/>
  <c r="AB617" i="20"/>
  <c r="AC614" i="20"/>
  <c r="U324" i="20"/>
  <c r="U687" i="20"/>
  <c r="U689" i="20"/>
  <c r="U318" i="20"/>
  <c r="U652" i="20"/>
  <c r="AB539" i="20"/>
  <c r="AA541" i="20"/>
  <c r="AB540" i="20"/>
  <c r="AC483" i="20"/>
  <c r="V259" i="20"/>
  <c r="V195" i="20"/>
  <c r="V618" i="20"/>
  <c r="V296" i="20"/>
  <c r="X654" i="20"/>
  <c r="X655" i="20"/>
  <c r="X181" i="20"/>
  <c r="AC629" i="20"/>
  <c r="AC631" i="20"/>
  <c r="AD611" i="20"/>
  <c r="AC615" i="20"/>
  <c r="D768" i="20"/>
  <c r="D747" i="20"/>
  <c r="Y287" i="20"/>
  <c r="X200" i="20"/>
  <c r="AA523" i="20"/>
  <c r="AA525" i="20"/>
  <c r="AB521" i="20"/>
  <c r="C559" i="20"/>
  <c r="S649" i="20"/>
  <c r="S708" i="20"/>
  <c r="S646" i="20"/>
  <c r="T624" i="20"/>
  <c r="J655" i="20"/>
  <c r="N407" i="20"/>
  <c r="N409" i="20"/>
  <c r="AA177" i="20"/>
  <c r="Z178" i="20"/>
  <c r="Z179" i="20"/>
  <c r="Z184" i="20"/>
  <c r="C503" i="20"/>
  <c r="Z535" i="20"/>
  <c r="V643" i="14"/>
  <c r="U708" i="14"/>
  <c r="V492" i="14"/>
  <c r="V494" i="14"/>
  <c r="V509" i="14"/>
  <c r="V645" i="14"/>
  <c r="V649" i="14"/>
  <c r="AA291" i="14"/>
  <c r="AA184" i="14"/>
  <c r="U284" i="14"/>
  <c r="U316" i="14"/>
  <c r="U325" i="14"/>
  <c r="U692" i="14"/>
  <c r="U694" i="14"/>
  <c r="Y676" i="14"/>
  <c r="Y677" i="14"/>
  <c r="Y227" i="14"/>
  <c r="Y181" i="14"/>
  <c r="X628" i="14"/>
  <c r="W631" i="14"/>
  <c r="W633" i="14"/>
  <c r="W638" i="14"/>
  <c r="W640" i="14"/>
  <c r="W643" i="14"/>
  <c r="W745" i="14"/>
  <c r="W766" i="14"/>
  <c r="W540" i="14"/>
  <c r="W541" i="14"/>
  <c r="X483" i="14"/>
  <c r="W484" i="14"/>
  <c r="X533" i="14"/>
  <c r="X535" i="14"/>
  <c r="Y531" i="14"/>
  <c r="X357" i="14"/>
  <c r="X359" i="14"/>
  <c r="X648" i="14"/>
  <c r="X642" i="14"/>
  <c r="X697" i="14"/>
  <c r="X320" i="14"/>
  <c r="X738" i="14"/>
  <c r="X629" i="14"/>
  <c r="Y611" i="14"/>
  <c r="X615" i="14"/>
  <c r="X617" i="14"/>
  <c r="X619" i="14"/>
  <c r="X624" i="14"/>
  <c r="E771" i="14"/>
  <c r="X96" i="9"/>
  <c r="W726" i="14"/>
  <c r="W149" i="14"/>
  <c r="W113" i="14"/>
  <c r="W206" i="14"/>
  <c r="X36" i="9"/>
  <c r="W94" i="14"/>
  <c r="W741" i="14"/>
  <c r="W512" i="14"/>
  <c r="W294" i="14"/>
  <c r="W426" i="14"/>
  <c r="W463" i="14"/>
  <c r="W187" i="14"/>
  <c r="W764" i="14"/>
  <c r="W605" i="14"/>
  <c r="W332" i="14"/>
  <c r="W596" i="14"/>
  <c r="W657" i="14"/>
  <c r="X47" i="9"/>
  <c r="W218" i="14"/>
  <c r="X101" i="9"/>
  <c r="W755" i="14"/>
  <c r="W245" i="14"/>
  <c r="W246" i="14"/>
  <c r="W269" i="14"/>
  <c r="W271" i="14"/>
  <c r="X233" i="14"/>
  <c r="Y53" i="9"/>
  <c r="Y49" i="9"/>
  <c r="X223" i="14"/>
  <c r="W674" i="14"/>
  <c r="X83" i="9"/>
  <c r="Y98" i="9"/>
  <c r="X732" i="14"/>
  <c r="X95" i="14"/>
  <c r="Y37" i="9"/>
  <c r="O744" i="14"/>
  <c r="O765" i="14"/>
  <c r="V228" i="14"/>
  <c r="V265" i="14"/>
  <c r="V267" i="14"/>
  <c r="Y477" i="14"/>
  <c r="Z475" i="14"/>
  <c r="P706" i="14"/>
  <c r="P328" i="14"/>
  <c r="P330" i="14"/>
  <c r="W756" i="14"/>
  <c r="X266" i="14"/>
  <c r="Y81" i="9"/>
  <c r="X672" i="14"/>
  <c r="X45" i="9"/>
  <c r="W216" i="14"/>
  <c r="W219" i="14"/>
  <c r="W220" i="14"/>
  <c r="W221" i="14"/>
  <c r="W226" i="14"/>
  <c r="X234" i="14"/>
  <c r="Y54" i="9"/>
  <c r="G721" i="14"/>
  <c r="G720" i="14"/>
  <c r="H718" i="14"/>
  <c r="H719" i="14"/>
  <c r="X63" i="9"/>
  <c r="W243" i="14"/>
  <c r="X43" i="9"/>
  <c r="W214" i="14"/>
  <c r="X501" i="14"/>
  <c r="X503" i="14"/>
  <c r="Y498" i="14"/>
  <c r="P310" i="14"/>
  <c r="P311" i="14"/>
  <c r="Q321" i="14"/>
  <c r="V283" i="14"/>
  <c r="V315" i="14"/>
  <c r="X215" i="14"/>
  <c r="Y44" i="9"/>
  <c r="T263" i="14"/>
  <c r="R708" i="14"/>
  <c r="R649" i="14"/>
  <c r="R646" i="14"/>
  <c r="X78" i="9"/>
  <c r="W669" i="14"/>
  <c r="S277" i="14"/>
  <c r="S280" i="14"/>
  <c r="S282" i="14"/>
  <c r="S313" i="14"/>
  <c r="S323" i="14"/>
  <c r="S663" i="14"/>
  <c r="S665" i="14"/>
  <c r="S679" i="14"/>
  <c r="W683" i="14"/>
  <c r="X87" i="9"/>
  <c r="P388" i="14"/>
  <c r="P390" i="14"/>
  <c r="Y93" i="9"/>
  <c r="X693" i="14"/>
  <c r="Z57" i="9"/>
  <c r="Y237" i="14"/>
  <c r="W727" i="14"/>
  <c r="X97" i="9"/>
  <c r="AB471" i="14"/>
  <c r="W274" i="14"/>
  <c r="X80" i="9"/>
  <c r="W671" i="14"/>
  <c r="Z559" i="14"/>
  <c r="AA555" i="14"/>
  <c r="V678" i="14"/>
  <c r="X76" i="9"/>
  <c r="W667" i="14"/>
  <c r="U259" i="14"/>
  <c r="W253" i="14"/>
  <c r="W255" i="14"/>
  <c r="X67" i="9"/>
  <c r="W668" i="14"/>
  <c r="X77" i="9"/>
  <c r="R709" i="14"/>
  <c r="R698" i="14"/>
  <c r="T746" i="14"/>
  <c r="T767" i="14"/>
  <c r="M651" i="14"/>
  <c r="Y247" i="14"/>
  <c r="Y182" i="14"/>
  <c r="Y539" i="14"/>
  <c r="AA458" i="14"/>
  <c r="AA460" i="14"/>
  <c r="F733" i="14"/>
  <c r="Y270" i="14"/>
  <c r="Y61" i="9"/>
  <c r="X241" i="14"/>
  <c r="Z614" i="14"/>
  <c r="X239" i="14"/>
  <c r="Y59" i="9"/>
  <c r="R298" i="14"/>
  <c r="R306" i="14"/>
  <c r="R297" i="14"/>
  <c r="AD580" i="14"/>
  <c r="AD581" i="14"/>
  <c r="AC581" i="14"/>
  <c r="AC587" i="14"/>
  <c r="AC593" i="14"/>
  <c r="AA527" i="14"/>
  <c r="Z529" i="14"/>
  <c r="X79" i="9"/>
  <c r="W670" i="14"/>
  <c r="AB521" i="14"/>
  <c r="AA523" i="14"/>
  <c r="AA525" i="14"/>
  <c r="F729" i="14"/>
  <c r="X664" i="14"/>
  <c r="X256" i="14"/>
  <c r="X183" i="14"/>
  <c r="X185" i="14"/>
  <c r="U746" i="14"/>
  <c r="U767" i="14"/>
  <c r="G655" i="14"/>
  <c r="V257" i="14"/>
  <c r="V273" i="14"/>
  <c r="V275" i="14"/>
  <c r="X472" i="14"/>
  <c r="W473" i="14"/>
  <c r="W479" i="14"/>
  <c r="W492" i="14"/>
  <c r="W494" i="14"/>
  <c r="W509" i="14"/>
  <c r="Z373" i="14"/>
  <c r="Y377" i="14"/>
  <c r="Y378" i="14"/>
  <c r="Y414" i="14"/>
  <c r="Y416" i="14"/>
  <c r="Y710" i="14"/>
  <c r="Y385" i="14"/>
  <c r="Y389" i="14"/>
  <c r="Y404" i="14"/>
  <c r="Y408" i="14"/>
  <c r="AC433" i="14"/>
  <c r="AB434" i="14"/>
  <c r="AB440" i="14"/>
  <c r="AB453" i="14"/>
  <c r="K416" i="14"/>
  <c r="Y55" i="9"/>
  <c r="X235" i="14"/>
  <c r="D739" i="14"/>
  <c r="V302" i="14"/>
  <c r="V303" i="14"/>
  <c r="V317" i="14"/>
  <c r="V326" i="14"/>
  <c r="V682" i="14"/>
  <c r="V684" i="14"/>
  <c r="AC517" i="14"/>
  <c r="AB519" i="14"/>
  <c r="L407" i="14"/>
  <c r="L409" i="14"/>
  <c r="U318" i="14"/>
  <c r="U652" i="14"/>
  <c r="U324" i="14"/>
  <c r="U687" i="14"/>
  <c r="U689" i="14"/>
  <c r="W289" i="14"/>
  <c r="W290" i="14"/>
  <c r="W292" i="14"/>
  <c r="X71" i="9"/>
  <c r="Y551" i="14"/>
  <c r="Z545" i="14"/>
  <c r="S694" i="14"/>
  <c r="Y60" i="9"/>
  <c r="X240" i="14"/>
  <c r="T318" i="14"/>
  <c r="T652" i="14"/>
  <c r="P696" i="14"/>
  <c r="Y56" i="9"/>
  <c r="X236" i="14"/>
  <c r="Z62" i="9"/>
  <c r="Y242" i="14"/>
  <c r="X727" i="21"/>
  <c r="X727" i="20"/>
  <c r="X669" i="21"/>
  <c r="X669" i="20"/>
  <c r="W228" i="21"/>
  <c r="W265" i="21"/>
  <c r="W267" i="21"/>
  <c r="X688" i="21"/>
  <c r="X688" i="20"/>
  <c r="X688" i="14"/>
  <c r="Y90" i="9"/>
  <c r="Y672" i="21"/>
  <c r="Y672" i="20"/>
  <c r="X214" i="21"/>
  <c r="X214" i="20"/>
  <c r="X674" i="21"/>
  <c r="X674" i="20"/>
  <c r="X218" i="21"/>
  <c r="X218" i="20"/>
  <c r="X254" i="21"/>
  <c r="X254" i="20"/>
  <c r="Y68" i="9"/>
  <c r="X254" i="14"/>
  <c r="W302" i="21"/>
  <c r="W303" i="21"/>
  <c r="W317" i="21"/>
  <c r="W326" i="21"/>
  <c r="W682" i="21"/>
  <c r="W684" i="21"/>
  <c r="X657" i="21"/>
  <c r="X512" i="21"/>
  <c r="X605" i="21"/>
  <c r="X426" i="21"/>
  <c r="X332" i="21"/>
  <c r="X294" i="21"/>
  <c r="X764" i="21"/>
  <c r="X741" i="21"/>
  <c r="X463" i="21"/>
  <c r="X596" i="21"/>
  <c r="X206" i="21"/>
  <c r="X187" i="21"/>
  <c r="X764" i="20"/>
  <c r="X113" i="21"/>
  <c r="X149" i="21"/>
  <c r="X605" i="20"/>
  <c r="X463" i="20"/>
  <c r="X741" i="20"/>
  <c r="X657" i="20"/>
  <c r="X426" i="20"/>
  <c r="X294" i="20"/>
  <c r="X332" i="20"/>
  <c r="X596" i="20"/>
  <c r="X512" i="20"/>
  <c r="X187" i="20"/>
  <c r="X94" i="20"/>
  <c r="X94" i="21"/>
  <c r="X113" i="20"/>
  <c r="X206" i="20"/>
  <c r="X149" i="20"/>
  <c r="U282" i="21"/>
  <c r="U313" i="21"/>
  <c r="U323" i="21"/>
  <c r="U663" i="21"/>
  <c r="Y239" i="21"/>
  <c r="Y239" i="20"/>
  <c r="X673" i="21"/>
  <c r="X673" i="20"/>
  <c r="X673" i="14"/>
  <c r="Y82" i="9"/>
  <c r="Y235" i="21"/>
  <c r="Y235" i="20"/>
  <c r="Y693" i="21"/>
  <c r="Y693" i="20"/>
  <c r="Y215" i="21"/>
  <c r="Y215" i="20"/>
  <c r="Y223" i="21"/>
  <c r="Y223" i="20"/>
  <c r="X243" i="21"/>
  <c r="X243" i="20"/>
  <c r="X667" i="21"/>
  <c r="X667" i="20"/>
  <c r="Y241" i="21"/>
  <c r="Y241" i="20"/>
  <c r="Y234" i="20"/>
  <c r="Y234" i="21"/>
  <c r="Y233" i="21"/>
  <c r="Y233" i="20"/>
  <c r="Y245" i="20"/>
  <c r="Y246" i="20"/>
  <c r="W303" i="20"/>
  <c r="W317" i="20"/>
  <c r="W326" i="20"/>
  <c r="W682" i="20"/>
  <c r="W684" i="20"/>
  <c r="X217" i="21"/>
  <c r="X216" i="21"/>
  <c r="X219" i="21"/>
  <c r="X220" i="21"/>
  <c r="X221" i="21"/>
  <c r="X226" i="21"/>
  <c r="X217" i="20"/>
  <c r="X217" i="14"/>
  <c r="Y46" i="9"/>
  <c r="X675" i="21"/>
  <c r="X675" i="20"/>
  <c r="Y84" i="9"/>
  <c r="X675" i="14"/>
  <c r="X245" i="21"/>
  <c r="X246" i="21"/>
  <c r="Y240" i="21"/>
  <c r="Y240" i="20"/>
  <c r="Z242" i="21"/>
  <c r="Z242" i="20"/>
  <c r="X670" i="21"/>
  <c r="X670" i="20"/>
  <c r="X683" i="21"/>
  <c r="X683" i="20"/>
  <c r="W678" i="20"/>
  <c r="U318" i="21"/>
  <c r="U652" i="21"/>
  <c r="U324" i="21"/>
  <c r="U687" i="21"/>
  <c r="U689" i="21"/>
  <c r="W756" i="21"/>
  <c r="W756" i="20"/>
  <c r="Z237" i="21"/>
  <c r="Z237" i="20"/>
  <c r="X726" i="21"/>
  <c r="X726" i="20"/>
  <c r="W678" i="21"/>
  <c r="Y732" i="21"/>
  <c r="Y732" i="20"/>
  <c r="X289" i="21"/>
  <c r="X290" i="21"/>
  <c r="X292" i="21"/>
  <c r="X289" i="20"/>
  <c r="X290" i="20"/>
  <c r="X292" i="20"/>
  <c r="X302" i="20"/>
  <c r="X216" i="20"/>
  <c r="X219" i="20"/>
  <c r="X220" i="20"/>
  <c r="X221" i="20"/>
  <c r="X226" i="20"/>
  <c r="X238" i="21"/>
  <c r="X238" i="20"/>
  <c r="Y58" i="9"/>
  <c r="X238" i="14"/>
  <c r="W255" i="20"/>
  <c r="X668" i="20"/>
  <c r="X671" i="20"/>
  <c r="X678" i="20"/>
  <c r="X668" i="21"/>
  <c r="X678" i="21"/>
  <c r="X671" i="21"/>
  <c r="Y236" i="21"/>
  <c r="Y236" i="20"/>
  <c r="X253" i="21"/>
  <c r="X255" i="21"/>
  <c r="X253" i="20"/>
  <c r="X255" i="20"/>
  <c r="X273" i="20"/>
  <c r="X275" i="20"/>
  <c r="Y95" i="21"/>
  <c r="Y95" i="20"/>
  <c r="X102" i="9"/>
  <c r="X755" i="21"/>
  <c r="X755" i="20"/>
  <c r="W255" i="21"/>
  <c r="AB676" i="21"/>
  <c r="AB677" i="21"/>
  <c r="AC100" i="21"/>
  <c r="AB227" i="21"/>
  <c r="AA745" i="21"/>
  <c r="AA766" i="21"/>
  <c r="AB648" i="21"/>
  <c r="AB738" i="21"/>
  <c r="AB697" i="21"/>
  <c r="AB320" i="21"/>
  <c r="AC98" i="21"/>
  <c r="AB642" i="21"/>
  <c r="AB357" i="21"/>
  <c r="AB359" i="21"/>
  <c r="AC270" i="21"/>
  <c r="AD107" i="21"/>
  <c r="AD270" i="21"/>
  <c r="AD108" i="21"/>
  <c r="AD274" i="21"/>
  <c r="AC274" i="21"/>
  <c r="AD103" i="20"/>
  <c r="AD291" i="20"/>
  <c r="AC291" i="20"/>
  <c r="AA655" i="21"/>
  <c r="AA654" i="21"/>
  <c r="AA181" i="21"/>
  <c r="AD483" i="21"/>
  <c r="AD540" i="21"/>
  <c r="AC540" i="21"/>
  <c r="Z251" i="21"/>
  <c r="AD177" i="21"/>
  <c r="AC178" i="21"/>
  <c r="T709" i="21"/>
  <c r="T698" i="21"/>
  <c r="T651" i="21"/>
  <c r="T653" i="21"/>
  <c r="T655" i="21"/>
  <c r="AA212" i="21"/>
  <c r="Z191" i="21"/>
  <c r="AA168" i="21"/>
  <c r="AA167" i="21"/>
  <c r="AA171" i="21"/>
  <c r="AA182" i="21"/>
  <c r="AD628" i="21"/>
  <c r="Z231" i="21"/>
  <c r="G770" i="21"/>
  <c r="G769" i="21"/>
  <c r="T298" i="21"/>
  <c r="T306" i="21"/>
  <c r="T297" i="21"/>
  <c r="AB629" i="21"/>
  <c r="AB631" i="21"/>
  <c r="AB615" i="21"/>
  <c r="AB617" i="21"/>
  <c r="AC611" i="21"/>
  <c r="X636" i="21"/>
  <c r="X633" i="21"/>
  <c r="X638" i="21"/>
  <c r="Z301" i="21"/>
  <c r="Z204" i="21"/>
  <c r="Z632" i="21"/>
  <c r="AC165" i="21"/>
  <c r="AB170" i="21"/>
  <c r="AB166" i="21"/>
  <c r="Z172" i="21"/>
  <c r="Z183" i="21"/>
  <c r="V643" i="21"/>
  <c r="V329" i="21"/>
  <c r="V645" i="21"/>
  <c r="W622" i="21"/>
  <c r="W619" i="21"/>
  <c r="AA473" i="21"/>
  <c r="AA479" i="21"/>
  <c r="AA492" i="21"/>
  <c r="AA494" i="21"/>
  <c r="AA509" i="21"/>
  <c r="AB471" i="21"/>
  <c r="U643" i="21"/>
  <c r="U329" i="21"/>
  <c r="U645" i="21"/>
  <c r="I729" i="21"/>
  <c r="Z171" i="21"/>
  <c r="Z182" i="21"/>
  <c r="Z185" i="21"/>
  <c r="T746" i="21"/>
  <c r="T767" i="21"/>
  <c r="X622" i="21"/>
  <c r="X619" i="21"/>
  <c r="X624" i="21"/>
  <c r="M655" i="21"/>
  <c r="P410" i="21"/>
  <c r="Q407" i="21"/>
  <c r="Q409" i="21"/>
  <c r="P411" i="21"/>
  <c r="Z192" i="21"/>
  <c r="P414" i="21"/>
  <c r="P416" i="21"/>
  <c r="P710" i="21"/>
  <c r="P711" i="21"/>
  <c r="AD458" i="21"/>
  <c r="C458" i="21"/>
  <c r="C453" i="21"/>
  <c r="R651" i="21"/>
  <c r="Q388" i="21"/>
  <c r="Q390" i="21"/>
  <c r="Q311" i="21"/>
  <c r="AB529" i="21"/>
  <c r="AB535" i="21"/>
  <c r="AC527" i="21"/>
  <c r="H747" i="21"/>
  <c r="H748" i="21"/>
  <c r="H757" i="21"/>
  <c r="H768" i="21"/>
  <c r="AB482" i="21"/>
  <c r="AA484" i="21"/>
  <c r="D769" i="21"/>
  <c r="D770" i="21"/>
  <c r="AD475" i="21"/>
  <c r="AD477" i="21"/>
  <c r="AC477" i="21"/>
  <c r="F739" i="21"/>
  <c r="U665" i="21"/>
  <c r="U679" i="21"/>
  <c r="U696" i="21"/>
  <c r="R706" i="21"/>
  <c r="R328" i="21"/>
  <c r="R330" i="21"/>
  <c r="AA373" i="21"/>
  <c r="Z377" i="21"/>
  <c r="Z378" i="21"/>
  <c r="Z414" i="21"/>
  <c r="Z416" i="21"/>
  <c r="Z710" i="21"/>
  <c r="Z385" i="21"/>
  <c r="Z389" i="21"/>
  <c r="Z404" i="21"/>
  <c r="Z408" i="21"/>
  <c r="C519" i="21"/>
  <c r="V277" i="21"/>
  <c r="V280" i="21"/>
  <c r="V282" i="21"/>
  <c r="V313" i="21"/>
  <c r="V323" i="21"/>
  <c r="V663" i="21"/>
  <c r="V665" i="21"/>
  <c r="V679" i="21"/>
  <c r="V696" i="21"/>
  <c r="AA201" i="21"/>
  <c r="W324" i="21"/>
  <c r="W687" i="21"/>
  <c r="W689" i="21"/>
  <c r="S321" i="21"/>
  <c r="R310" i="21"/>
  <c r="R311" i="21"/>
  <c r="D748" i="21"/>
  <c r="Y636" i="21"/>
  <c r="Y633" i="21"/>
  <c r="Z224" i="21"/>
  <c r="AB539" i="21"/>
  <c r="AA541" i="21"/>
  <c r="U298" i="21"/>
  <c r="U306" i="21"/>
  <c r="U297" i="21"/>
  <c r="K721" i="21"/>
  <c r="K720" i="21"/>
  <c r="L718" i="21"/>
  <c r="L719" i="21"/>
  <c r="Y296" i="21"/>
  <c r="Y195" i="21"/>
  <c r="Y618" i="21"/>
  <c r="AB498" i="21"/>
  <c r="AA501" i="21"/>
  <c r="AA503" i="21"/>
  <c r="J731" i="21"/>
  <c r="J733" i="21"/>
  <c r="J728" i="21"/>
  <c r="J729" i="21"/>
  <c r="AB287" i="21"/>
  <c r="AA200" i="21"/>
  <c r="I735" i="20"/>
  <c r="I737" i="20"/>
  <c r="I739" i="20"/>
  <c r="V638" i="20"/>
  <c r="AC107" i="20"/>
  <c r="AB270" i="20"/>
  <c r="W283" i="20"/>
  <c r="W315" i="20"/>
  <c r="AC266" i="20"/>
  <c r="AD106" i="20"/>
  <c r="AD266" i="20"/>
  <c r="AD98" i="20"/>
  <c r="AC357" i="20"/>
  <c r="AC359" i="20"/>
  <c r="AC697" i="20"/>
  <c r="AC642" i="20"/>
  <c r="AC738" i="20"/>
  <c r="AC320" i="20"/>
  <c r="AC648" i="20"/>
  <c r="AB766" i="20"/>
  <c r="AB745" i="20"/>
  <c r="G771" i="20"/>
  <c r="AB523" i="20"/>
  <c r="AB525" i="20"/>
  <c r="AC521" i="20"/>
  <c r="AB177" i="20"/>
  <c r="AA178" i="20"/>
  <c r="U277" i="20"/>
  <c r="U280" i="20"/>
  <c r="U282" i="20"/>
  <c r="U313" i="20"/>
  <c r="U323" i="20"/>
  <c r="U663" i="20"/>
  <c r="AA477" i="20"/>
  <c r="AA479" i="20"/>
  <c r="AA492" i="20"/>
  <c r="AA494" i="20"/>
  <c r="AA509" i="20"/>
  <c r="AB475" i="20"/>
  <c r="Y654" i="20"/>
  <c r="Y655" i="20"/>
  <c r="Y181" i="20"/>
  <c r="AB373" i="20"/>
  <c r="AA385" i="20"/>
  <c r="AA389" i="20"/>
  <c r="AA377" i="20"/>
  <c r="AA378" i="20"/>
  <c r="AA414" i="20"/>
  <c r="AA416" i="20"/>
  <c r="AA710" i="20"/>
  <c r="AA404" i="20"/>
  <c r="AA408" i="20"/>
  <c r="N410" i="20"/>
  <c r="N411" i="20"/>
  <c r="N414" i="20"/>
  <c r="N416" i="20"/>
  <c r="N710" i="20"/>
  <c r="N711" i="20"/>
  <c r="Y201" i="20"/>
  <c r="W636" i="20"/>
  <c r="W633" i="20"/>
  <c r="Y231" i="20"/>
  <c r="V622" i="20"/>
  <c r="V619" i="20"/>
  <c r="V624" i="20"/>
  <c r="AD614" i="20"/>
  <c r="AC617" i="20"/>
  <c r="Q706" i="20"/>
  <c r="Q328" i="20"/>
  <c r="Q330" i="20"/>
  <c r="Y251" i="20"/>
  <c r="W296" i="20"/>
  <c r="W195" i="20"/>
  <c r="W618" i="20"/>
  <c r="U624" i="20"/>
  <c r="Q311" i="20"/>
  <c r="P311" i="20"/>
  <c r="X201" i="20"/>
  <c r="Y172" i="20"/>
  <c r="Y183" i="20"/>
  <c r="AB484" i="20"/>
  <c r="AC482" i="20"/>
  <c r="D748" i="20"/>
  <c r="V263" i="20"/>
  <c r="AB458" i="20"/>
  <c r="AB460" i="20"/>
  <c r="S696" i="20"/>
  <c r="X195" i="20"/>
  <c r="X618" i="20"/>
  <c r="X296" i="20"/>
  <c r="D769" i="20"/>
  <c r="D770" i="20"/>
  <c r="V318" i="20"/>
  <c r="V652" i="20"/>
  <c r="V324" i="20"/>
  <c r="V687" i="20"/>
  <c r="V689" i="20"/>
  <c r="AD434" i="20"/>
  <c r="AC434" i="20"/>
  <c r="AC440" i="20"/>
  <c r="AC453" i="20"/>
  <c r="S298" i="20"/>
  <c r="S306" i="20"/>
  <c r="S297" i="20"/>
  <c r="Q388" i="20"/>
  <c r="Q390" i="20"/>
  <c r="Y224" i="20"/>
  <c r="J731" i="20"/>
  <c r="J728" i="20"/>
  <c r="J729" i="20"/>
  <c r="H735" i="20"/>
  <c r="T664" i="20"/>
  <c r="T640" i="20"/>
  <c r="T277" i="20"/>
  <c r="T280" i="20"/>
  <c r="T282" i="20"/>
  <c r="T313" i="20"/>
  <c r="T323" i="20"/>
  <c r="T663" i="20"/>
  <c r="T665" i="20"/>
  <c r="T679" i="20"/>
  <c r="T696" i="20"/>
  <c r="F739" i="20"/>
  <c r="K720" i="20"/>
  <c r="L718" i="20"/>
  <c r="L719" i="20"/>
  <c r="K721" i="20"/>
  <c r="AC540" i="20"/>
  <c r="AD483" i="20"/>
  <c r="AD540" i="20"/>
  <c r="O653" i="20"/>
  <c r="AD527" i="20"/>
  <c r="AD529" i="20"/>
  <c r="AC529" i="20"/>
  <c r="AC469" i="20"/>
  <c r="AB473" i="20"/>
  <c r="AC471" i="20"/>
  <c r="AD629" i="20"/>
  <c r="AD631" i="20"/>
  <c r="AD615" i="20"/>
  <c r="X248" i="20"/>
  <c r="X269" i="20"/>
  <c r="X271" i="20"/>
  <c r="Z212" i="20"/>
  <c r="Z168" i="20"/>
  <c r="Y191" i="20"/>
  <c r="Y192" i="20"/>
  <c r="Z167" i="20"/>
  <c r="Z171" i="20"/>
  <c r="Z182" i="20"/>
  <c r="AA533" i="20"/>
  <c r="AA535" i="20"/>
  <c r="AB531" i="20"/>
  <c r="S767" i="20"/>
  <c r="S746" i="20"/>
  <c r="I747" i="20"/>
  <c r="I748" i="20"/>
  <c r="I757" i="20"/>
  <c r="I768" i="20"/>
  <c r="AB165" i="20"/>
  <c r="AA166" i="20"/>
  <c r="AA170" i="20"/>
  <c r="Y200" i="20"/>
  <c r="Z287" i="20"/>
  <c r="X185" i="20"/>
  <c r="AC539" i="20"/>
  <c r="AB541" i="20"/>
  <c r="R706" i="20"/>
  <c r="R328" i="20"/>
  <c r="R330" i="20"/>
  <c r="Z170" i="20"/>
  <c r="V708" i="14"/>
  <c r="W645" i="14"/>
  <c r="W649" i="14"/>
  <c r="W329" i="14"/>
  <c r="AB291" i="14"/>
  <c r="AB184" i="14"/>
  <c r="Z227" i="14"/>
  <c r="Z676" i="14"/>
  <c r="Z677" i="14"/>
  <c r="Z181" i="14"/>
  <c r="X745" i="14"/>
  <c r="X766" i="14"/>
  <c r="Z531" i="14"/>
  <c r="Y533" i="14"/>
  <c r="Y535" i="14"/>
  <c r="Y629" i="14"/>
  <c r="Z611" i="14"/>
  <c r="Y615" i="14"/>
  <c r="Y617" i="14"/>
  <c r="Y619" i="14"/>
  <c r="Y624" i="14"/>
  <c r="Y483" i="14"/>
  <c r="X540" i="14"/>
  <c r="X541" i="14"/>
  <c r="X484" i="14"/>
  <c r="Y642" i="14"/>
  <c r="Y697" i="14"/>
  <c r="Y320" i="14"/>
  <c r="Y648" i="14"/>
  <c r="Y357" i="14"/>
  <c r="Y359" i="14"/>
  <c r="Y738" i="14"/>
  <c r="X631" i="14"/>
  <c r="X633" i="14"/>
  <c r="X638" i="14"/>
  <c r="X640" i="14"/>
  <c r="X329" i="14"/>
  <c r="Y628" i="14"/>
  <c r="X726" i="14"/>
  <c r="Y96" i="9"/>
  <c r="W248" i="14"/>
  <c r="W283" i="14"/>
  <c r="W315" i="14"/>
  <c r="X512" i="14"/>
  <c r="X149" i="14"/>
  <c r="X764" i="14"/>
  <c r="X426" i="14"/>
  <c r="X605" i="14"/>
  <c r="X332" i="14"/>
  <c r="Y36" i="9"/>
  <c r="X206" i="14"/>
  <c r="X113" i="14"/>
  <c r="X657" i="14"/>
  <c r="X94" i="14"/>
  <c r="X596" i="14"/>
  <c r="X741" i="14"/>
  <c r="X294" i="14"/>
  <c r="X463" i="14"/>
  <c r="X187" i="14"/>
  <c r="Y47" i="9"/>
  <c r="X218" i="14"/>
  <c r="Z98" i="9"/>
  <c r="Y732" i="14"/>
  <c r="Z37" i="9"/>
  <c r="Y95" i="14"/>
  <c r="Y83" i="9"/>
  <c r="X674" i="14"/>
  <c r="X755" i="14"/>
  <c r="X245" i="14"/>
  <c r="X246" i="14"/>
  <c r="X248" i="14"/>
  <c r="Y223" i="14"/>
  <c r="Z49" i="9"/>
  <c r="Z53" i="9"/>
  <c r="Y233" i="14"/>
  <c r="W265" i="14"/>
  <c r="W267" i="14"/>
  <c r="W228" i="14"/>
  <c r="W708" i="14"/>
  <c r="AC471" i="14"/>
  <c r="Z93" i="9"/>
  <c r="Y693" i="14"/>
  <c r="S696" i="14"/>
  <c r="X216" i="14"/>
  <c r="X219" i="14"/>
  <c r="X220" i="14"/>
  <c r="X221" i="14"/>
  <c r="X226" i="14"/>
  <c r="Y45" i="9"/>
  <c r="X683" i="14"/>
  <c r="Y87" i="9"/>
  <c r="Z44" i="9"/>
  <c r="Y215" i="14"/>
  <c r="V259" i="14"/>
  <c r="Y472" i="14"/>
  <c r="X473" i="14"/>
  <c r="X479" i="14"/>
  <c r="X492" i="14"/>
  <c r="X494" i="14"/>
  <c r="X509" i="14"/>
  <c r="P391" i="14"/>
  <c r="P392" i="14"/>
  <c r="S298" i="14"/>
  <c r="S306" i="14"/>
  <c r="S297" i="14"/>
  <c r="Y266" i="14"/>
  <c r="X669" i="14"/>
  <c r="Y78" i="9"/>
  <c r="P744" i="14"/>
  <c r="P765" i="14"/>
  <c r="Z56" i="9"/>
  <c r="Y236" i="14"/>
  <c r="Z60" i="9"/>
  <c r="Y240" i="14"/>
  <c r="Z551" i="14"/>
  <c r="AA545" i="14"/>
  <c r="AD587" i="14"/>
  <c r="C581" i="14"/>
  <c r="AA614" i="14"/>
  <c r="Z61" i="9"/>
  <c r="Y241" i="14"/>
  <c r="Z247" i="14"/>
  <c r="Z182" i="14"/>
  <c r="Y76" i="9"/>
  <c r="X667" i="14"/>
  <c r="H721" i="14"/>
  <c r="H720" i="14"/>
  <c r="I718" i="14"/>
  <c r="I719" i="14"/>
  <c r="X670" i="14"/>
  <c r="Y79" i="9"/>
  <c r="Y664" i="14"/>
  <c r="Y80" i="9"/>
  <c r="X671" i="14"/>
  <c r="R746" i="14"/>
  <c r="R651" i="14"/>
  <c r="R653" i="14"/>
  <c r="R655" i="14"/>
  <c r="R767" i="14"/>
  <c r="G731" i="14"/>
  <c r="G728" i="14"/>
  <c r="K710" i="14"/>
  <c r="K711" i="14"/>
  <c r="Q310" i="14"/>
  <c r="Q311" i="14"/>
  <c r="R321" i="14"/>
  <c r="X253" i="14"/>
  <c r="X255" i="14"/>
  <c r="Y67" i="9"/>
  <c r="AC519" i="14"/>
  <c r="AD517" i="14"/>
  <c r="AD519" i="14"/>
  <c r="AB458" i="14"/>
  <c r="AB460" i="14"/>
  <c r="Z377" i="14"/>
  <c r="Z378" i="14"/>
  <c r="Z414" i="14"/>
  <c r="Z416" i="14"/>
  <c r="Z710" i="14"/>
  <c r="AA373" i="14"/>
  <c r="Z385" i="14"/>
  <c r="Z389" i="14"/>
  <c r="Z404" i="14"/>
  <c r="Z408" i="14"/>
  <c r="Y256" i="14"/>
  <c r="Y183" i="14"/>
  <c r="Y185" i="14"/>
  <c r="Z59" i="9"/>
  <c r="Y239" i="14"/>
  <c r="M653" i="14"/>
  <c r="U263" i="14"/>
  <c r="X727" i="14"/>
  <c r="Y97" i="9"/>
  <c r="V324" i="14"/>
  <c r="V687" i="14"/>
  <c r="V689" i="14"/>
  <c r="Y501" i="14"/>
  <c r="Y503" i="14"/>
  <c r="Z498" i="14"/>
  <c r="Z81" i="9"/>
  <c r="Y672" i="14"/>
  <c r="AA475" i="14"/>
  <c r="Z477" i="14"/>
  <c r="L410" i="14"/>
  <c r="L411" i="14"/>
  <c r="L414" i="14"/>
  <c r="L416" i="14"/>
  <c r="L710" i="14"/>
  <c r="L711" i="14"/>
  <c r="AB523" i="14"/>
  <c r="AB525" i="14"/>
  <c r="AC521" i="14"/>
  <c r="AD433" i="14"/>
  <c r="AD434" i="14"/>
  <c r="AC434" i="14"/>
  <c r="AC440" i="14"/>
  <c r="AC453" i="14"/>
  <c r="AA529" i="14"/>
  <c r="AB527" i="14"/>
  <c r="Q706" i="14"/>
  <c r="Q328" i="14"/>
  <c r="Q330" i="14"/>
  <c r="Y234" i="14"/>
  <c r="Z54" i="9"/>
  <c r="F735" i="14"/>
  <c r="Z539" i="14"/>
  <c r="Y63" i="9"/>
  <c r="X243" i="14"/>
  <c r="Z55" i="9"/>
  <c r="Y235" i="14"/>
  <c r="AA62" i="9"/>
  <c r="Z242" i="14"/>
  <c r="W302" i="14"/>
  <c r="W303" i="14"/>
  <c r="W317" i="14"/>
  <c r="W326" i="14"/>
  <c r="W682" i="14"/>
  <c r="W684" i="14"/>
  <c r="V284" i="14"/>
  <c r="V316" i="14"/>
  <c r="V325" i="14"/>
  <c r="V692" i="14"/>
  <c r="V694" i="14"/>
  <c r="W273" i="14"/>
  <c r="W275" i="14"/>
  <c r="W257" i="14"/>
  <c r="X274" i="14"/>
  <c r="T277" i="14"/>
  <c r="T280" i="14"/>
  <c r="T282" i="14"/>
  <c r="T313" i="14"/>
  <c r="T323" i="14"/>
  <c r="T663" i="14"/>
  <c r="T665" i="14"/>
  <c r="T679" i="14"/>
  <c r="T696" i="14"/>
  <c r="X756" i="14"/>
  <c r="Y43" i="9"/>
  <c r="X214" i="14"/>
  <c r="X289" i="14"/>
  <c r="X290" i="14"/>
  <c r="X292" i="14"/>
  <c r="Y71" i="9"/>
  <c r="X668" i="14"/>
  <c r="Y77" i="9"/>
  <c r="AA559" i="14"/>
  <c r="AB555" i="14"/>
  <c r="D747" i="14"/>
  <c r="D768" i="14"/>
  <c r="V746" i="14"/>
  <c r="V767" i="14"/>
  <c r="P709" i="14"/>
  <c r="P698" i="14"/>
  <c r="Z270" i="14"/>
  <c r="W678" i="14"/>
  <c r="AA57" i="9"/>
  <c r="Z237" i="14"/>
  <c r="X265" i="21"/>
  <c r="X267" i="21"/>
  <c r="X228" i="21"/>
  <c r="X265" i="20"/>
  <c r="X267" i="20"/>
  <c r="X228" i="20"/>
  <c r="X273" i="21"/>
  <c r="X275" i="21"/>
  <c r="X257" i="21"/>
  <c r="X284" i="21"/>
  <c r="X316" i="21"/>
  <c r="X325" i="21"/>
  <c r="X692" i="21"/>
  <c r="X694" i="21"/>
  <c r="Z235" i="21"/>
  <c r="Z235" i="20"/>
  <c r="Y671" i="21"/>
  <c r="Y671" i="20"/>
  <c r="Y216" i="21"/>
  <c r="Y216" i="20"/>
  <c r="Z233" i="21"/>
  <c r="Z233" i="20"/>
  <c r="Z732" i="21"/>
  <c r="Z732" i="20"/>
  <c r="Y657" i="21"/>
  <c r="Y512" i="21"/>
  <c r="Y605" i="21"/>
  <c r="Y426" i="21"/>
  <c r="Y332" i="21"/>
  <c r="Y294" i="21"/>
  <c r="Y764" i="21"/>
  <c r="Y741" i="21"/>
  <c r="Y463" i="21"/>
  <c r="Y596" i="21"/>
  <c r="Y206" i="21"/>
  <c r="Y187" i="21"/>
  <c r="Y764" i="20"/>
  <c r="Y741" i="20"/>
  <c r="Y113" i="21"/>
  <c r="Y149" i="21"/>
  <c r="Y605" i="20"/>
  <c r="Y463" i="20"/>
  <c r="Y94" i="21"/>
  <c r="Y512" i="20"/>
  <c r="Y657" i="20"/>
  <c r="Y426" i="20"/>
  <c r="Y294" i="20"/>
  <c r="Y332" i="20"/>
  <c r="Y596" i="20"/>
  <c r="Y94" i="20"/>
  <c r="Y113" i="20"/>
  <c r="Y187" i="20"/>
  <c r="Y149" i="20"/>
  <c r="Y206" i="20"/>
  <c r="X257" i="20"/>
  <c r="X284" i="20"/>
  <c r="X316" i="20"/>
  <c r="X325" i="20"/>
  <c r="X692" i="20"/>
  <c r="X694" i="20"/>
  <c r="X269" i="21"/>
  <c r="X271" i="21"/>
  <c r="X248" i="21"/>
  <c r="X283" i="21"/>
  <c r="X315" i="21"/>
  <c r="Y245" i="21"/>
  <c r="Y246" i="21"/>
  <c r="Y254" i="21"/>
  <c r="Y254" i="20"/>
  <c r="Z68" i="9"/>
  <c r="Y254" i="14"/>
  <c r="Y688" i="21"/>
  <c r="Y688" i="20"/>
  <c r="Z90" i="9"/>
  <c r="Y688" i="14"/>
  <c r="Z95" i="21"/>
  <c r="Z95" i="20"/>
  <c r="Y675" i="21"/>
  <c r="Y675" i="20"/>
  <c r="Z84" i="9"/>
  <c r="Y675" i="14"/>
  <c r="Z241" i="21"/>
  <c r="Z241" i="20"/>
  <c r="X302" i="21"/>
  <c r="X303" i="21"/>
  <c r="X317" i="21"/>
  <c r="X326" i="21"/>
  <c r="X682" i="21"/>
  <c r="X684" i="21"/>
  <c r="W273" i="21"/>
  <c r="W275" i="21"/>
  <c r="W257" i="21"/>
  <c r="Y673" i="21"/>
  <c r="Y673" i="20"/>
  <c r="Z82" i="9"/>
  <c r="Y673" i="14"/>
  <c r="Z239" i="21"/>
  <c r="Z239" i="20"/>
  <c r="Y217" i="20"/>
  <c r="Y219" i="20"/>
  <c r="Y220" i="20"/>
  <c r="Y221" i="20"/>
  <c r="Y226" i="20"/>
  <c r="Y217" i="21"/>
  <c r="Y219" i="21"/>
  <c r="Y220" i="21"/>
  <c r="Y221" i="21"/>
  <c r="Y226" i="21"/>
  <c r="Y217" i="14"/>
  <c r="Z46" i="9"/>
  <c r="W259" i="21"/>
  <c r="W263" i="21"/>
  <c r="W277" i="21"/>
  <c r="W280" i="21"/>
  <c r="Y243" i="21"/>
  <c r="Y243" i="20"/>
  <c r="Z672" i="20"/>
  <c r="Z672" i="21"/>
  <c r="Z240" i="21"/>
  <c r="Z240" i="20"/>
  <c r="W257" i="20"/>
  <c r="W273" i="20"/>
  <c r="W275" i="20"/>
  <c r="Y669" i="21"/>
  <c r="Y669" i="20"/>
  <c r="Y253" i="21"/>
  <c r="Y255" i="21"/>
  <c r="Y253" i="20"/>
  <c r="Y667" i="21"/>
  <c r="Y667" i="20"/>
  <c r="X756" i="21"/>
  <c r="X756" i="20"/>
  <c r="Y218" i="21"/>
  <c r="Y218" i="20"/>
  <c r="Z234" i="21"/>
  <c r="Z245" i="21"/>
  <c r="Z246" i="21"/>
  <c r="Z269" i="21"/>
  <c r="Z271" i="21"/>
  <c r="Z234" i="20"/>
  <c r="Z223" i="20"/>
  <c r="Z223" i="21"/>
  <c r="Y668" i="21"/>
  <c r="Y670" i="21"/>
  <c r="Y674" i="21"/>
  <c r="Y678" i="21"/>
  <c r="Y668" i="20"/>
  <c r="Z693" i="21"/>
  <c r="Z693" i="20"/>
  <c r="Z236" i="21"/>
  <c r="Z236" i="20"/>
  <c r="Y674" i="20"/>
  <c r="Y726" i="21"/>
  <c r="Y726" i="20"/>
  <c r="Y238" i="21"/>
  <c r="Y238" i="20"/>
  <c r="Z58" i="9"/>
  <c r="Y238" i="14"/>
  <c r="Y683" i="21"/>
  <c r="Y683" i="20"/>
  <c r="AA237" i="21"/>
  <c r="AA237" i="20"/>
  <c r="Y670" i="20"/>
  <c r="Y289" i="21"/>
  <c r="Y290" i="21"/>
  <c r="Y292" i="21"/>
  <c r="Y289" i="20"/>
  <c r="Y290" i="20"/>
  <c r="Y292" i="20"/>
  <c r="Y302" i="20"/>
  <c r="AA242" i="21"/>
  <c r="AA242" i="20"/>
  <c r="Y214" i="21"/>
  <c r="Y214" i="20"/>
  <c r="Y727" i="21"/>
  <c r="Y727" i="20"/>
  <c r="Z215" i="21"/>
  <c r="Z215" i="20"/>
  <c r="AC676" i="21"/>
  <c r="AC677" i="21"/>
  <c r="AD100" i="21"/>
  <c r="AC227" i="21"/>
  <c r="AC648" i="21"/>
  <c r="AC738" i="21"/>
  <c r="AC697" i="21"/>
  <c r="AC320" i="21"/>
  <c r="AD98" i="21"/>
  <c r="AC642" i="21"/>
  <c r="AC357" i="21"/>
  <c r="AC359" i="21"/>
  <c r="AB745" i="21"/>
  <c r="AB766" i="21"/>
  <c r="J735" i="21"/>
  <c r="J737" i="21"/>
  <c r="J739" i="21"/>
  <c r="J768" i="21"/>
  <c r="D771" i="21"/>
  <c r="R744" i="21"/>
  <c r="R765" i="21"/>
  <c r="AD165" i="21"/>
  <c r="AC166" i="21"/>
  <c r="AC170" i="21"/>
  <c r="G771" i="21"/>
  <c r="AA231" i="21"/>
  <c r="V297" i="21"/>
  <c r="V298" i="21"/>
  <c r="V306" i="21"/>
  <c r="Z636" i="21"/>
  <c r="Z633" i="21"/>
  <c r="Z638" i="21"/>
  <c r="AA251" i="21"/>
  <c r="Q744" i="21"/>
  <c r="Q765" i="21"/>
  <c r="AA172" i="21"/>
  <c r="AA183" i="21"/>
  <c r="T310" i="21"/>
  <c r="U321" i="21"/>
  <c r="AD178" i="21"/>
  <c r="F747" i="21"/>
  <c r="F768" i="21"/>
  <c r="AC498" i="21"/>
  <c r="AB501" i="21"/>
  <c r="AB503" i="21"/>
  <c r="Y638" i="21"/>
  <c r="Z296" i="21"/>
  <c r="Z195" i="21"/>
  <c r="Z618" i="21"/>
  <c r="W624" i="21"/>
  <c r="AA192" i="21"/>
  <c r="T321" i="21"/>
  <c r="S310" i="21"/>
  <c r="T311" i="21"/>
  <c r="AB541" i="21"/>
  <c r="AC539" i="21"/>
  <c r="Y622" i="21"/>
  <c r="Y619" i="21"/>
  <c r="Y624" i="21"/>
  <c r="Q391" i="21"/>
  <c r="Q392" i="21"/>
  <c r="AA224" i="21"/>
  <c r="AA185" i="21"/>
  <c r="AB473" i="21"/>
  <c r="AB479" i="21"/>
  <c r="AC471" i="21"/>
  <c r="V709" i="21"/>
  <c r="V698" i="21"/>
  <c r="D757" i="21"/>
  <c r="D749" i="21"/>
  <c r="E749" i="21"/>
  <c r="V708" i="21"/>
  <c r="V649" i="21"/>
  <c r="AB655" i="21"/>
  <c r="AB654" i="21"/>
  <c r="AB181" i="21"/>
  <c r="AA204" i="21"/>
  <c r="AA632" i="21"/>
  <c r="AA301" i="21"/>
  <c r="AC482" i="21"/>
  <c r="AB484" i="21"/>
  <c r="R653" i="21"/>
  <c r="Q410" i="21"/>
  <c r="Q411" i="21"/>
  <c r="I735" i="21"/>
  <c r="L721" i="21"/>
  <c r="L720" i="21"/>
  <c r="M718" i="21"/>
  <c r="M719" i="21"/>
  <c r="AB373" i="21"/>
  <c r="AA377" i="21"/>
  <c r="AA378" i="21"/>
  <c r="AA414" i="21"/>
  <c r="AA416" i="21"/>
  <c r="AA710" i="21"/>
  <c r="AA385" i="21"/>
  <c r="AA389" i="21"/>
  <c r="AA404" i="21"/>
  <c r="AA408" i="21"/>
  <c r="H770" i="21"/>
  <c r="H769" i="21"/>
  <c r="U649" i="21"/>
  <c r="U708" i="21"/>
  <c r="AD611" i="21"/>
  <c r="AC615" i="21"/>
  <c r="AC617" i="21"/>
  <c r="AC629" i="21"/>
  <c r="AC631" i="21"/>
  <c r="X664" i="21"/>
  <c r="X640" i="21"/>
  <c r="K728" i="21"/>
  <c r="K729" i="21"/>
  <c r="K731" i="21"/>
  <c r="K733" i="21"/>
  <c r="S706" i="21"/>
  <c r="S328" i="21"/>
  <c r="S330" i="21"/>
  <c r="AD460" i="21"/>
  <c r="AB200" i="21"/>
  <c r="AC287" i="21"/>
  <c r="U709" i="21"/>
  <c r="U698" i="21"/>
  <c r="AB201" i="21"/>
  <c r="AC529" i="21"/>
  <c r="AC535" i="21"/>
  <c r="AD527" i="21"/>
  <c r="AD529" i="21"/>
  <c r="AB212" i="21"/>
  <c r="AA191" i="21"/>
  <c r="AB168" i="21"/>
  <c r="AB167" i="21"/>
  <c r="AC179" i="21"/>
  <c r="AC184" i="21"/>
  <c r="W324" i="20"/>
  <c r="W687" i="20"/>
  <c r="W689" i="20"/>
  <c r="X283" i="20"/>
  <c r="X315" i="20"/>
  <c r="X324" i="20"/>
  <c r="X687" i="20"/>
  <c r="X689" i="20"/>
  <c r="AD107" i="20"/>
  <c r="AD270" i="20"/>
  <c r="AC270" i="20"/>
  <c r="AC766" i="20"/>
  <c r="AC745" i="20"/>
  <c r="AD697" i="20"/>
  <c r="AD642" i="20"/>
  <c r="AD320" i="20"/>
  <c r="AD738" i="20"/>
  <c r="AD648" i="20"/>
  <c r="AD357" i="20"/>
  <c r="AD359" i="20"/>
  <c r="Y248" i="20"/>
  <c r="Y269" i="20"/>
  <c r="Y271" i="20"/>
  <c r="AA212" i="20"/>
  <c r="Z191" i="20"/>
  <c r="AA167" i="20"/>
  <c r="AA168" i="20"/>
  <c r="AA172" i="20"/>
  <c r="AA183" i="20"/>
  <c r="AB533" i="20"/>
  <c r="AC531" i="20"/>
  <c r="K731" i="20"/>
  <c r="K733" i="20"/>
  <c r="K728" i="20"/>
  <c r="X622" i="20"/>
  <c r="X619" i="20"/>
  <c r="W638" i="20"/>
  <c r="AB477" i="20"/>
  <c r="AB479" i="20"/>
  <c r="AB492" i="20"/>
  <c r="AB494" i="20"/>
  <c r="AB509" i="20"/>
  <c r="AC475" i="20"/>
  <c r="AA655" i="20"/>
  <c r="AA654" i="20"/>
  <c r="AA181" i="20"/>
  <c r="L720" i="20"/>
  <c r="M718" i="20"/>
  <c r="M719" i="20"/>
  <c r="L721" i="20"/>
  <c r="Y296" i="20"/>
  <c r="Y195" i="20"/>
  <c r="Y618" i="20"/>
  <c r="Z654" i="20"/>
  <c r="Z655" i="20"/>
  <c r="Z181" i="20"/>
  <c r="AC165" i="20"/>
  <c r="AB166" i="20"/>
  <c r="AB170" i="20"/>
  <c r="AC473" i="20"/>
  <c r="AD471" i="20"/>
  <c r="AD473" i="20"/>
  <c r="Q391" i="20"/>
  <c r="Q392" i="20"/>
  <c r="X301" i="20"/>
  <c r="X303" i="20"/>
  <c r="X317" i="20"/>
  <c r="X326" i="20"/>
  <c r="X682" i="20"/>
  <c r="X684" i="20"/>
  <c r="X204" i="20"/>
  <c r="X632" i="20"/>
  <c r="Y301" i="20"/>
  <c r="Y303" i="20"/>
  <c r="Y317" i="20"/>
  <c r="Y326" i="20"/>
  <c r="Y682" i="20"/>
  <c r="Y684" i="20"/>
  <c r="Y204" i="20"/>
  <c r="Y632" i="20"/>
  <c r="Z231" i="20"/>
  <c r="Z245" i="20"/>
  <c r="Z246" i="20"/>
  <c r="F768" i="20"/>
  <c r="F747" i="20"/>
  <c r="P765" i="20"/>
  <c r="P744" i="20"/>
  <c r="U297" i="20"/>
  <c r="U298" i="20"/>
  <c r="U306" i="20"/>
  <c r="AC484" i="20"/>
  <c r="AD482" i="20"/>
  <c r="AD484" i="20"/>
  <c r="Z192" i="20"/>
  <c r="T709" i="20"/>
  <c r="T698" i="20"/>
  <c r="S321" i="20"/>
  <c r="R310" i="20"/>
  <c r="S709" i="20"/>
  <c r="S698" i="20"/>
  <c r="S651" i="20"/>
  <c r="Q744" i="20"/>
  <c r="Q765" i="20"/>
  <c r="AD617" i="20"/>
  <c r="O407" i="20"/>
  <c r="O409" i="20"/>
  <c r="Z251" i="20"/>
  <c r="AD469" i="20"/>
  <c r="T298" i="20"/>
  <c r="T306" i="20"/>
  <c r="T297" i="20"/>
  <c r="AC458" i="20"/>
  <c r="AC460" i="20"/>
  <c r="U640" i="20"/>
  <c r="U664" i="20"/>
  <c r="U665" i="20"/>
  <c r="U679" i="20"/>
  <c r="U696" i="20"/>
  <c r="V640" i="20"/>
  <c r="V664" i="20"/>
  <c r="AA287" i="20"/>
  <c r="Z200" i="20"/>
  <c r="I770" i="20"/>
  <c r="I769" i="20"/>
  <c r="I771" i="20"/>
  <c r="Z172" i="20"/>
  <c r="Z183" i="20"/>
  <c r="T643" i="20"/>
  <c r="T329" i="20"/>
  <c r="T641" i="20"/>
  <c r="T645" i="20"/>
  <c r="AD440" i="20"/>
  <c r="C434" i="20"/>
  <c r="W622" i="20"/>
  <c r="W619" i="20"/>
  <c r="AA179" i="20"/>
  <c r="AA184" i="20"/>
  <c r="AD539" i="20"/>
  <c r="AD541" i="20"/>
  <c r="AC541" i="20"/>
  <c r="Z224" i="20"/>
  <c r="C529" i="20"/>
  <c r="V277" i="20"/>
  <c r="V280" i="20"/>
  <c r="V282" i="20"/>
  <c r="V313" i="20"/>
  <c r="V323" i="20"/>
  <c r="V663" i="20"/>
  <c r="AC177" i="20"/>
  <c r="AB178" i="20"/>
  <c r="AB377" i="20"/>
  <c r="AB378" i="20"/>
  <c r="AB414" i="20"/>
  <c r="AB416" i="20"/>
  <c r="AB710" i="20"/>
  <c r="AC373" i="20"/>
  <c r="AB385" i="20"/>
  <c r="AB389" i="20"/>
  <c r="AB404" i="20"/>
  <c r="AB408" i="20"/>
  <c r="AC523" i="20"/>
  <c r="AC525" i="20"/>
  <c r="AD521" i="20"/>
  <c r="AD523" i="20"/>
  <c r="AD525" i="20"/>
  <c r="O655" i="20"/>
  <c r="H737" i="20"/>
  <c r="D749" i="20"/>
  <c r="E749" i="20"/>
  <c r="D757" i="20"/>
  <c r="Y185" i="20"/>
  <c r="AB535" i="20"/>
  <c r="J733" i="20"/>
  <c r="Z201" i="20"/>
  <c r="J735" i="20"/>
  <c r="J737" i="20"/>
  <c r="J739" i="20"/>
  <c r="D771" i="20"/>
  <c r="X643" i="14"/>
  <c r="X645" i="14"/>
  <c r="X708" i="14"/>
  <c r="AC291" i="14"/>
  <c r="AC184" i="14"/>
  <c r="AA676" i="14"/>
  <c r="AA677" i="14"/>
  <c r="AA227" i="14"/>
  <c r="AA181" i="14"/>
  <c r="Z320" i="14"/>
  <c r="Z738" i="14"/>
  <c r="Z642" i="14"/>
  <c r="Z697" i="14"/>
  <c r="Z357" i="14"/>
  <c r="Z359" i="14"/>
  <c r="Z648" i="14"/>
  <c r="Y540" i="14"/>
  <c r="Y541" i="14"/>
  <c r="Y484" i="14"/>
  <c r="Z483" i="14"/>
  <c r="Z628" i="14"/>
  <c r="Y631" i="14"/>
  <c r="Y633" i="14"/>
  <c r="Y638" i="14"/>
  <c r="Y640" i="14"/>
  <c r="Y643" i="14"/>
  <c r="Z629" i="14"/>
  <c r="Z615" i="14"/>
  <c r="Z617" i="14"/>
  <c r="Z619" i="14"/>
  <c r="Z624" i="14"/>
  <c r="Z664" i="14"/>
  <c r="AA611" i="14"/>
  <c r="Y745" i="14"/>
  <c r="Y766" i="14"/>
  <c r="AA531" i="14"/>
  <c r="Z533" i="14"/>
  <c r="Y726" i="14"/>
  <c r="Z96" i="9"/>
  <c r="Y218" i="14"/>
  <c r="Z47" i="9"/>
  <c r="W284" i="14"/>
  <c r="W316" i="14"/>
  <c r="W325" i="14"/>
  <c r="W692" i="14"/>
  <c r="W694" i="14"/>
  <c r="Z36" i="9"/>
  <c r="Y605" i="14"/>
  <c r="Y149" i="14"/>
  <c r="Y332" i="14"/>
  <c r="Y94" i="14"/>
  <c r="Y657" i="14"/>
  <c r="Y764" i="14"/>
  <c r="Y206" i="14"/>
  <c r="Y113" i="14"/>
  <c r="Y741" i="14"/>
  <c r="Y596" i="14"/>
  <c r="Y463" i="14"/>
  <c r="Y294" i="14"/>
  <c r="Y187" i="14"/>
  <c r="Y512" i="14"/>
  <c r="Y426" i="14"/>
  <c r="Y245" i="14"/>
  <c r="Y246" i="14"/>
  <c r="Y269" i="14"/>
  <c r="Y271" i="14"/>
  <c r="X678" i="14"/>
  <c r="X269" i="14"/>
  <c r="X271" i="14"/>
  <c r="X283" i="14"/>
  <c r="X315" i="14"/>
  <c r="Z83" i="9"/>
  <c r="Y674" i="14"/>
  <c r="Z233" i="14"/>
  <c r="AA53" i="9"/>
  <c r="Z95" i="14"/>
  <c r="AA37" i="9"/>
  <c r="AA98" i="9"/>
  <c r="Z732" i="14"/>
  <c r="AA49" i="9"/>
  <c r="Z223" i="14"/>
  <c r="F737" i="14"/>
  <c r="AC527" i="14"/>
  <c r="AB529" i="14"/>
  <c r="Z256" i="14"/>
  <c r="Z183" i="14"/>
  <c r="Z185" i="14"/>
  <c r="I720" i="14"/>
  <c r="J718" i="14"/>
  <c r="J719" i="14"/>
  <c r="I721" i="14"/>
  <c r="Z693" i="14"/>
  <c r="AA93" i="9"/>
  <c r="AA81" i="9"/>
  <c r="Z672" i="14"/>
  <c r="H728" i="14"/>
  <c r="H729" i="14"/>
  <c r="H731" i="14"/>
  <c r="H733" i="14"/>
  <c r="X228" i="14"/>
  <c r="X265" i="14"/>
  <c r="X267" i="14"/>
  <c r="Z266" i="14"/>
  <c r="AD471" i="14"/>
  <c r="Z43" i="9"/>
  <c r="Y214" i="14"/>
  <c r="W746" i="14"/>
  <c r="W767" i="14"/>
  <c r="M407" i="14"/>
  <c r="M409" i="14"/>
  <c r="R706" i="14"/>
  <c r="R328" i="14"/>
  <c r="R330" i="14"/>
  <c r="G729" i="14"/>
  <c r="Z76" i="9"/>
  <c r="Y667" i="14"/>
  <c r="AD593" i="14"/>
  <c r="C593" i="14"/>
  <c r="C594" i="14"/>
  <c r="C587" i="14"/>
  <c r="Z215" i="14"/>
  <c r="AA44" i="9"/>
  <c r="Z45" i="9"/>
  <c r="Y216" i="14"/>
  <c r="X257" i="14"/>
  <c r="X273" i="14"/>
  <c r="X275" i="14"/>
  <c r="AA61" i="9"/>
  <c r="Z241" i="14"/>
  <c r="AA55" i="9"/>
  <c r="Z235" i="14"/>
  <c r="W324" i="14"/>
  <c r="W687" i="14"/>
  <c r="W689" i="14"/>
  <c r="AC458" i="14"/>
  <c r="AC460" i="14"/>
  <c r="Y727" i="14"/>
  <c r="Z97" i="9"/>
  <c r="M655" i="14"/>
  <c r="G733" i="14"/>
  <c r="Z472" i="14"/>
  <c r="Y473" i="14"/>
  <c r="Y479" i="14"/>
  <c r="Y668" i="14"/>
  <c r="Z77" i="9"/>
  <c r="AD440" i="14"/>
  <c r="C434" i="14"/>
  <c r="D770" i="14"/>
  <c r="D769" i="14"/>
  <c r="Z501" i="14"/>
  <c r="Z503" i="14"/>
  <c r="AA498" i="14"/>
  <c r="C519" i="14"/>
  <c r="Z80" i="9"/>
  <c r="Y671" i="14"/>
  <c r="AA247" i="14"/>
  <c r="AA182" i="14"/>
  <c r="Z87" i="9"/>
  <c r="Y683" i="14"/>
  <c r="W259" i="14"/>
  <c r="AB614" i="14"/>
  <c r="AA477" i="14"/>
  <c r="AB475" i="14"/>
  <c r="U277" i="14"/>
  <c r="U280" i="14"/>
  <c r="U282" i="14"/>
  <c r="U313" i="14"/>
  <c r="U323" i="14"/>
  <c r="U663" i="14"/>
  <c r="U665" i="14"/>
  <c r="U679" i="14"/>
  <c r="U696" i="14"/>
  <c r="AA60" i="9"/>
  <c r="Z240" i="14"/>
  <c r="Z78" i="9"/>
  <c r="Y669" i="14"/>
  <c r="Y274" i="14"/>
  <c r="AA270" i="14"/>
  <c r="Y289" i="14"/>
  <c r="Y290" i="14"/>
  <c r="Y292" i="14"/>
  <c r="Z71" i="9"/>
  <c r="Q744" i="14"/>
  <c r="Q765" i="14"/>
  <c r="AA377" i="14"/>
  <c r="AA378" i="14"/>
  <c r="AA414" i="14"/>
  <c r="AA416" i="14"/>
  <c r="AA710" i="14"/>
  <c r="AB373" i="14"/>
  <c r="AA385" i="14"/>
  <c r="AA389" i="14"/>
  <c r="AA404" i="14"/>
  <c r="AA408" i="14"/>
  <c r="Y253" i="14"/>
  <c r="Y255" i="14"/>
  <c r="Z67" i="9"/>
  <c r="Y670" i="14"/>
  <c r="Z79" i="9"/>
  <c r="R310" i="14"/>
  <c r="R311" i="14"/>
  <c r="S321" i="14"/>
  <c r="S709" i="14"/>
  <c r="S698" i="14"/>
  <c r="S651" i="14"/>
  <c r="S653" i="14"/>
  <c r="S655" i="14"/>
  <c r="AB545" i="14"/>
  <c r="AA551" i="14"/>
  <c r="AB57" i="9"/>
  <c r="AA237" i="14"/>
  <c r="P651" i="14"/>
  <c r="D748" i="14"/>
  <c r="D749" i="14"/>
  <c r="E749" i="14"/>
  <c r="X302" i="14"/>
  <c r="X303" i="14"/>
  <c r="X317" i="14"/>
  <c r="X326" i="14"/>
  <c r="X682" i="14"/>
  <c r="X684" i="14"/>
  <c r="T709" i="14"/>
  <c r="T698" i="14"/>
  <c r="T651" i="14"/>
  <c r="T653" i="14"/>
  <c r="T655" i="14"/>
  <c r="Z63" i="9"/>
  <c r="Y243" i="14"/>
  <c r="Z234" i="14"/>
  <c r="AA54" i="9"/>
  <c r="V318" i="14"/>
  <c r="V652" i="14"/>
  <c r="AA59" i="9"/>
  <c r="Z239" i="14"/>
  <c r="AC555" i="14"/>
  <c r="AB559" i="14"/>
  <c r="T298" i="14"/>
  <c r="T306" i="14"/>
  <c r="T297" i="14"/>
  <c r="AB62" i="9"/>
  <c r="AA242" i="14"/>
  <c r="AA539" i="14"/>
  <c r="AD521" i="14"/>
  <c r="AD523" i="14"/>
  <c r="AD525" i="14"/>
  <c r="AC523" i="14"/>
  <c r="AC525" i="14"/>
  <c r="AA56" i="9"/>
  <c r="Z236" i="14"/>
  <c r="Q388" i="14"/>
  <c r="Q390" i="14"/>
  <c r="V263" i="14"/>
  <c r="Y265" i="21"/>
  <c r="Y267" i="21"/>
  <c r="Y228" i="21"/>
  <c r="Y228" i="20"/>
  <c r="Y265" i="20"/>
  <c r="Y267" i="20"/>
  <c r="Z727" i="21"/>
  <c r="Z727" i="20"/>
  <c r="AA732" i="21"/>
  <c r="AA732" i="20"/>
  <c r="Z217" i="21"/>
  <c r="Z216" i="21"/>
  <c r="Z219" i="21"/>
  <c r="Z220" i="21"/>
  <c r="Z221" i="21"/>
  <c r="Z226" i="21"/>
  <c r="Z217" i="20"/>
  <c r="Z216" i="20"/>
  <c r="Z219" i="20"/>
  <c r="Z220" i="20"/>
  <c r="Z221" i="20"/>
  <c r="Z226" i="20"/>
  <c r="Z217" i="14"/>
  <c r="AA46" i="9"/>
  <c r="Z688" i="21"/>
  <c r="Z688" i="20"/>
  <c r="AA90" i="9"/>
  <c r="Z688" i="14"/>
  <c r="Z670" i="21"/>
  <c r="Z670" i="20"/>
  <c r="AA672" i="20"/>
  <c r="AA672" i="21"/>
  <c r="X259" i="20"/>
  <c r="X263" i="20"/>
  <c r="Y302" i="21"/>
  <c r="Y303" i="21"/>
  <c r="Y317" i="21"/>
  <c r="Y326" i="21"/>
  <c r="Y682" i="21"/>
  <c r="Y684" i="21"/>
  <c r="AA693" i="21"/>
  <c r="AA693" i="20"/>
  <c r="Z512" i="21"/>
  <c r="Z605" i="21"/>
  <c r="Z426" i="21"/>
  <c r="Z332" i="21"/>
  <c r="Z294" i="21"/>
  <c r="Z764" i="21"/>
  <c r="Z741" i="21"/>
  <c r="Z463" i="21"/>
  <c r="Z657" i="21"/>
  <c r="Z206" i="21"/>
  <c r="Z187" i="21"/>
  <c r="Z764" i="20"/>
  <c r="Z741" i="20"/>
  <c r="Z596" i="20"/>
  <c r="Z149" i="21"/>
  <c r="Z596" i="21"/>
  <c r="Z94" i="21"/>
  <c r="Z512" i="20"/>
  <c r="Z605" i="20"/>
  <c r="Z113" i="21"/>
  <c r="Z657" i="20"/>
  <c r="Z426" i="20"/>
  <c r="Z294" i="20"/>
  <c r="Z332" i="20"/>
  <c r="Z463" i="20"/>
  <c r="Z113" i="20"/>
  <c r="Z187" i="20"/>
  <c r="Z149" i="20"/>
  <c r="Z206" i="20"/>
  <c r="Z94" i="20"/>
  <c r="W259" i="20"/>
  <c r="W263" i="20"/>
  <c r="W282" i="20"/>
  <c r="W313" i="20"/>
  <c r="W323" i="20"/>
  <c r="W663" i="20"/>
  <c r="W284" i="20"/>
  <c r="W316" i="20"/>
  <c r="W282" i="21"/>
  <c r="W313" i="21"/>
  <c r="W323" i="21"/>
  <c r="W663" i="21"/>
  <c r="AA233" i="21"/>
  <c r="AA233" i="20"/>
  <c r="Z248" i="21"/>
  <c r="Z254" i="21"/>
  <c r="Z254" i="20"/>
  <c r="Z254" i="14"/>
  <c r="AA68" i="9"/>
  <c r="Z253" i="21"/>
  <c r="Z255" i="21"/>
  <c r="Z253" i="20"/>
  <c r="Z255" i="20"/>
  <c r="Z257" i="20"/>
  <c r="Z214" i="21"/>
  <c r="Z214" i="20"/>
  <c r="Z667" i="21"/>
  <c r="Z667" i="20"/>
  <c r="Z683" i="21"/>
  <c r="Z683" i="20"/>
  <c r="Z726" i="21"/>
  <c r="Z726" i="20"/>
  <c r="Z673" i="21"/>
  <c r="Z673" i="20"/>
  <c r="AA82" i="9"/>
  <c r="Z673" i="14"/>
  <c r="Z675" i="21"/>
  <c r="Z675" i="20"/>
  <c r="AA84" i="9"/>
  <c r="Z675" i="14"/>
  <c r="AA239" i="21"/>
  <c r="AA239" i="20"/>
  <c r="AA95" i="21"/>
  <c r="AA95" i="20"/>
  <c r="AB237" i="21"/>
  <c r="AB237" i="20"/>
  <c r="Z668" i="21"/>
  <c r="Z668" i="20"/>
  <c r="AA240" i="21"/>
  <c r="AA240" i="20"/>
  <c r="Z674" i="21"/>
  <c r="Z674" i="20"/>
  <c r="Y248" i="21"/>
  <c r="Y269" i="21"/>
  <c r="Y271" i="21"/>
  <c r="AA236" i="21"/>
  <c r="AA236" i="20"/>
  <c r="Z669" i="21"/>
  <c r="Z669" i="20"/>
  <c r="Z289" i="21"/>
  <c r="Z290" i="21"/>
  <c r="Z292" i="21"/>
  <c r="Z289" i="20"/>
  <c r="Z290" i="20"/>
  <c r="Z292" i="20"/>
  <c r="Z302" i="20"/>
  <c r="X318" i="21"/>
  <c r="X652" i="21"/>
  <c r="X324" i="21"/>
  <c r="X687" i="21"/>
  <c r="X689" i="21"/>
  <c r="X259" i="21"/>
  <c r="X263" i="21"/>
  <c r="Y257" i="21"/>
  <c r="Y273" i="21"/>
  <c r="Y275" i="21"/>
  <c r="AA215" i="21"/>
  <c r="AA215" i="20"/>
  <c r="AA234" i="21"/>
  <c r="AA245" i="21"/>
  <c r="AA246" i="21"/>
  <c r="AA248" i="21"/>
  <c r="AA269" i="21"/>
  <c r="AA271" i="21"/>
  <c r="AA283" i="21"/>
  <c r="AA315" i="21"/>
  <c r="AA234" i="20"/>
  <c r="AA245" i="20"/>
  <c r="AA246" i="20"/>
  <c r="AA235" i="21"/>
  <c r="AA235" i="20"/>
  <c r="Z218" i="21"/>
  <c r="Z218" i="20"/>
  <c r="AA241" i="21"/>
  <c r="AA241" i="20"/>
  <c r="Z243" i="21"/>
  <c r="Z243" i="20"/>
  <c r="AB242" i="21"/>
  <c r="AB242" i="20"/>
  <c r="Z671" i="21"/>
  <c r="Z671" i="20"/>
  <c r="Y219" i="14"/>
  <c r="Y220" i="14"/>
  <c r="Y221" i="14"/>
  <c r="Y226" i="14"/>
  <c r="Y228" i="14"/>
  <c r="AA223" i="21"/>
  <c r="AA223" i="20"/>
  <c r="Z238" i="21"/>
  <c r="Z238" i="20"/>
  <c r="AA58" i="9"/>
  <c r="Z238" i="14"/>
  <c r="Y678" i="20"/>
  <c r="Y255" i="20"/>
  <c r="W284" i="21"/>
  <c r="W316" i="21"/>
  <c r="AD676" i="21"/>
  <c r="AD677" i="21"/>
  <c r="AD227" i="21"/>
  <c r="Z283" i="21"/>
  <c r="Z315" i="21"/>
  <c r="AC745" i="21"/>
  <c r="AC766" i="21"/>
  <c r="AD738" i="21"/>
  <c r="AD697" i="21"/>
  <c r="AD320" i="21"/>
  <c r="AD642" i="21"/>
  <c r="AD357" i="21"/>
  <c r="AD359" i="21"/>
  <c r="AD648" i="21"/>
  <c r="S311" i="21"/>
  <c r="S744" i="21"/>
  <c r="K735" i="21"/>
  <c r="K737" i="21"/>
  <c r="K739" i="21"/>
  <c r="K768" i="21"/>
  <c r="J747" i="21"/>
  <c r="J748" i="21"/>
  <c r="J757" i="21"/>
  <c r="AC655" i="21"/>
  <c r="AC654" i="21"/>
  <c r="AC181" i="21"/>
  <c r="AC473" i="21"/>
  <c r="AC479" i="21"/>
  <c r="AC492" i="21"/>
  <c r="AC494" i="21"/>
  <c r="AC509" i="21"/>
  <c r="AD471" i="21"/>
  <c r="AD473" i="21"/>
  <c r="AD479" i="21"/>
  <c r="F769" i="21"/>
  <c r="F770" i="21"/>
  <c r="AC541" i="21"/>
  <c r="AD539" i="21"/>
  <c r="AD541" i="21"/>
  <c r="R407" i="21"/>
  <c r="R409" i="21"/>
  <c r="AB492" i="21"/>
  <c r="AB494" i="21"/>
  <c r="AB509" i="21"/>
  <c r="T744" i="21"/>
  <c r="T765" i="21"/>
  <c r="F748" i="21"/>
  <c r="C529" i="21"/>
  <c r="AD535" i="21"/>
  <c r="I737" i="21"/>
  <c r="AB301" i="21"/>
  <c r="AB204" i="21"/>
  <c r="AB632" i="21"/>
  <c r="V746" i="21"/>
  <c r="V767" i="21"/>
  <c r="V651" i="21"/>
  <c r="V653" i="21"/>
  <c r="T706" i="21"/>
  <c r="T328" i="21"/>
  <c r="T330" i="21"/>
  <c r="X643" i="21"/>
  <c r="X329" i="21"/>
  <c r="X645" i="21"/>
  <c r="AC373" i="21"/>
  <c r="AB377" i="21"/>
  <c r="AB378" i="21"/>
  <c r="AB414" i="21"/>
  <c r="AB416" i="21"/>
  <c r="AB710" i="21"/>
  <c r="AB385" i="21"/>
  <c r="AB389" i="21"/>
  <c r="AB404" i="21"/>
  <c r="AB408" i="21"/>
  <c r="R655" i="21"/>
  <c r="AD287" i="21"/>
  <c r="AC200" i="21"/>
  <c r="AD201" i="21"/>
  <c r="C178" i="21"/>
  <c r="C177" i="21"/>
  <c r="AA296" i="21"/>
  <c r="AA195" i="21"/>
  <c r="AA618" i="21"/>
  <c r="AD179" i="21"/>
  <c r="Z324" i="21"/>
  <c r="Z687" i="21"/>
  <c r="Z689" i="21"/>
  <c r="L731" i="21"/>
  <c r="L733" i="21"/>
  <c r="L728" i="21"/>
  <c r="L729" i="21"/>
  <c r="Z622" i="21"/>
  <c r="Z619" i="21"/>
  <c r="Z624" i="21"/>
  <c r="X277" i="21"/>
  <c r="X280" i="21"/>
  <c r="X282" i="21"/>
  <c r="X313" i="21"/>
  <c r="X323" i="21"/>
  <c r="X663" i="21"/>
  <c r="X665" i="21"/>
  <c r="X679" i="21"/>
  <c r="X696" i="21"/>
  <c r="AD166" i="21"/>
  <c r="AD482" i="21"/>
  <c r="AD484" i="21"/>
  <c r="AC484" i="21"/>
  <c r="U706" i="21"/>
  <c r="U711" i="21"/>
  <c r="U328" i="21"/>
  <c r="U330" i="21"/>
  <c r="AB251" i="21"/>
  <c r="AD629" i="21"/>
  <c r="AD631" i="21"/>
  <c r="AD615" i="21"/>
  <c r="AD617" i="21"/>
  <c r="J769" i="21"/>
  <c r="J770" i="21"/>
  <c r="D758" i="21"/>
  <c r="E758" i="21"/>
  <c r="Q414" i="21"/>
  <c r="Q416" i="21"/>
  <c r="Q710" i="21"/>
  <c r="Q711" i="21"/>
  <c r="V321" i="21"/>
  <c r="U310" i="21"/>
  <c r="U311" i="21"/>
  <c r="M720" i="21"/>
  <c r="N718" i="21"/>
  <c r="N719" i="21"/>
  <c r="M721" i="21"/>
  <c r="AB172" i="21"/>
  <c r="AB183" i="21"/>
  <c r="AC201" i="21"/>
  <c r="R388" i="21"/>
  <c r="R390" i="21"/>
  <c r="W665" i="21"/>
  <c r="W679" i="21"/>
  <c r="AB231" i="21"/>
  <c r="W664" i="21"/>
  <c r="W640" i="21"/>
  <c r="AB171" i="21"/>
  <c r="AB182" i="21"/>
  <c r="AB192" i="21"/>
  <c r="U746" i="21"/>
  <c r="U767" i="21"/>
  <c r="U651" i="21"/>
  <c r="AA636" i="21"/>
  <c r="AA633" i="21"/>
  <c r="AA638" i="21"/>
  <c r="Y664" i="21"/>
  <c r="Y640" i="21"/>
  <c r="W297" i="21"/>
  <c r="W298" i="21"/>
  <c r="W306" i="21"/>
  <c r="AC212" i="21"/>
  <c r="AB191" i="21"/>
  <c r="AC168" i="21"/>
  <c r="AC167" i="21"/>
  <c r="AB224" i="21"/>
  <c r="C460" i="21"/>
  <c r="C461" i="21"/>
  <c r="H771" i="21"/>
  <c r="AC501" i="21"/>
  <c r="AC503" i="21"/>
  <c r="AD498" i="21"/>
  <c r="AD501" i="21"/>
  <c r="AD503" i="21"/>
  <c r="Z185" i="20"/>
  <c r="X624" i="20"/>
  <c r="X318" i="20"/>
  <c r="X652" i="20"/>
  <c r="AD766" i="20"/>
  <c r="AD745" i="20"/>
  <c r="C745" i="20"/>
  <c r="C15" i="20"/>
  <c r="C359" i="20"/>
  <c r="Z248" i="20"/>
  <c r="Z269" i="20"/>
  <c r="Z271" i="20"/>
  <c r="U698" i="20"/>
  <c r="U709" i="20"/>
  <c r="Z303" i="20"/>
  <c r="Z317" i="20"/>
  <c r="Z326" i="20"/>
  <c r="Z682" i="20"/>
  <c r="Z684" i="20"/>
  <c r="Z301" i="20"/>
  <c r="Z204" i="20"/>
  <c r="Z632" i="20"/>
  <c r="W277" i="20"/>
  <c r="W280" i="20"/>
  <c r="V643" i="20"/>
  <c r="V329" i="20"/>
  <c r="V645" i="20"/>
  <c r="AB655" i="20"/>
  <c r="AB654" i="20"/>
  <c r="AB181" i="20"/>
  <c r="AA251" i="20"/>
  <c r="J768" i="20"/>
  <c r="J747" i="20"/>
  <c r="J748" i="20"/>
  <c r="J757" i="20"/>
  <c r="AD177" i="20"/>
  <c r="AC178" i="20"/>
  <c r="AC179" i="20"/>
  <c r="AC184" i="20"/>
  <c r="AD453" i="20"/>
  <c r="C440" i="20"/>
  <c r="AA231" i="20"/>
  <c r="V665" i="20"/>
  <c r="V679" i="20"/>
  <c r="V696" i="20"/>
  <c r="T708" i="20"/>
  <c r="T649" i="20"/>
  <c r="T646" i="20"/>
  <c r="U643" i="20"/>
  <c r="U329" i="20"/>
  <c r="U645" i="20"/>
  <c r="O410" i="20"/>
  <c r="O411" i="20"/>
  <c r="O414" i="20"/>
  <c r="O416" i="20"/>
  <c r="O710" i="20"/>
  <c r="O711" i="20"/>
  <c r="X636" i="20"/>
  <c r="X633" i="20"/>
  <c r="AC477" i="20"/>
  <c r="AC479" i="20"/>
  <c r="AC492" i="20"/>
  <c r="AC494" i="20"/>
  <c r="AC509" i="20"/>
  <c r="AD475" i="20"/>
  <c r="AD477" i="20"/>
  <c r="AD479" i="20"/>
  <c r="AD492" i="20"/>
  <c r="AD494" i="20"/>
  <c r="AA171" i="20"/>
  <c r="AA182" i="20"/>
  <c r="AA185" i="20"/>
  <c r="C525" i="20"/>
  <c r="V297" i="20"/>
  <c r="V298" i="20"/>
  <c r="V306" i="20"/>
  <c r="Z296" i="20"/>
  <c r="Z195" i="20"/>
  <c r="Z618" i="20"/>
  <c r="AC535" i="20"/>
  <c r="F748" i="20"/>
  <c r="Y622" i="20"/>
  <c r="Y619" i="20"/>
  <c r="AA224" i="20"/>
  <c r="F769" i="20"/>
  <c r="F770" i="20"/>
  <c r="X664" i="20"/>
  <c r="S706" i="20"/>
  <c r="S328" i="20"/>
  <c r="S330" i="20"/>
  <c r="D758" i="20"/>
  <c r="E758" i="20"/>
  <c r="T321" i="20"/>
  <c r="S310" i="20"/>
  <c r="R388" i="20"/>
  <c r="R390" i="20"/>
  <c r="AC377" i="20"/>
  <c r="AC378" i="20"/>
  <c r="AC414" i="20"/>
  <c r="AC416" i="20"/>
  <c r="AC710" i="20"/>
  <c r="AD373" i="20"/>
  <c r="AC385" i="20"/>
  <c r="AC389" i="20"/>
  <c r="AC404" i="20"/>
  <c r="AC408" i="20"/>
  <c r="S653" i="20"/>
  <c r="S655" i="20"/>
  <c r="K729" i="20"/>
  <c r="C541" i="20"/>
  <c r="U321" i="20"/>
  <c r="T310" i="20"/>
  <c r="L731" i="20"/>
  <c r="L733" i="20"/>
  <c r="L728" i="20"/>
  <c r="L729" i="20"/>
  <c r="AB287" i="20"/>
  <c r="AA200" i="20"/>
  <c r="AA201" i="20"/>
  <c r="AB212" i="20"/>
  <c r="AB168" i="20"/>
  <c r="AB172" i="20"/>
  <c r="AB183" i="20"/>
  <c r="AA191" i="20"/>
  <c r="AB167" i="20"/>
  <c r="M720" i="20"/>
  <c r="N718" i="20"/>
  <c r="N719" i="20"/>
  <c r="M721" i="20"/>
  <c r="AD531" i="20"/>
  <c r="AD533" i="20"/>
  <c r="AC533" i="20"/>
  <c r="Y283" i="20"/>
  <c r="Y315" i="20"/>
  <c r="H739" i="20"/>
  <c r="AB179" i="20"/>
  <c r="AB184" i="20"/>
  <c r="W624" i="20"/>
  <c r="R311" i="20"/>
  <c r="Y636" i="20"/>
  <c r="Y633" i="20"/>
  <c r="AD165" i="20"/>
  <c r="AC166" i="20"/>
  <c r="X649" i="14"/>
  <c r="X746" i="14"/>
  <c r="Y492" i="14"/>
  <c r="Y494" i="14"/>
  <c r="Y509" i="14"/>
  <c r="Y645" i="14"/>
  <c r="AD291" i="14"/>
  <c r="AD184" i="14"/>
  <c r="C184" i="14"/>
  <c r="Z245" i="14"/>
  <c r="Z246" i="14"/>
  <c r="AB227" i="14"/>
  <c r="AB181" i="14"/>
  <c r="AB676" i="14"/>
  <c r="AB677" i="14"/>
  <c r="Z631" i="14"/>
  <c r="Z633" i="14"/>
  <c r="Z638" i="14"/>
  <c r="Z640" i="14"/>
  <c r="Z329" i="14"/>
  <c r="AA628" i="14"/>
  <c r="AA483" i="14"/>
  <c r="Z540" i="14"/>
  <c r="Z541" i="14"/>
  <c r="Z484" i="14"/>
  <c r="Z535" i="14"/>
  <c r="AB531" i="14"/>
  <c r="AA533" i="14"/>
  <c r="AA535" i="14"/>
  <c r="AA357" i="14"/>
  <c r="AA359" i="14"/>
  <c r="AA320" i="14"/>
  <c r="AA648" i="14"/>
  <c r="AA738" i="14"/>
  <c r="AA697" i="14"/>
  <c r="AA642" i="14"/>
  <c r="Z745" i="14"/>
  <c r="Z766" i="14"/>
  <c r="AA629" i="14"/>
  <c r="AA615" i="14"/>
  <c r="AA617" i="14"/>
  <c r="AA619" i="14"/>
  <c r="AA624" i="14"/>
  <c r="AA664" i="14"/>
  <c r="AB611" i="14"/>
  <c r="Y329" i="14"/>
  <c r="AA96" i="9"/>
  <c r="Z726" i="14"/>
  <c r="W318" i="14"/>
  <c r="W652" i="14"/>
  <c r="Z764" i="14"/>
  <c r="Z149" i="14"/>
  <c r="Z741" i="14"/>
  <c r="Z605" i="14"/>
  <c r="Z332" i="14"/>
  <c r="Z657" i="14"/>
  <c r="Z94" i="14"/>
  <c r="AA36" i="9"/>
  <c r="Z206" i="14"/>
  <c r="Z113" i="14"/>
  <c r="Z512" i="14"/>
  <c r="Z596" i="14"/>
  <c r="Z294" i="14"/>
  <c r="Z463" i="14"/>
  <c r="Z187" i="14"/>
  <c r="Z426" i="14"/>
  <c r="Y248" i="14"/>
  <c r="Y283" i="14"/>
  <c r="Y315" i="14"/>
  <c r="Y324" i="14"/>
  <c r="Y687" i="14"/>
  <c r="Y689" i="14"/>
  <c r="AA47" i="9"/>
  <c r="Z218" i="14"/>
  <c r="AA732" i="14"/>
  <c r="AB98" i="9"/>
  <c r="AA233" i="14"/>
  <c r="AB53" i="9"/>
  <c r="X284" i="14"/>
  <c r="X316" i="14"/>
  <c r="X325" i="14"/>
  <c r="X692" i="14"/>
  <c r="X694" i="14"/>
  <c r="AB49" i="9"/>
  <c r="AA223" i="14"/>
  <c r="AB37" i="9"/>
  <c r="AA95" i="14"/>
  <c r="Z674" i="14"/>
  <c r="AA83" i="9"/>
  <c r="R744" i="14"/>
  <c r="R765" i="14"/>
  <c r="Z248" i="14"/>
  <c r="Z269" i="14"/>
  <c r="Z271" i="14"/>
  <c r="AA79" i="9"/>
  <c r="Z670" i="14"/>
  <c r="AB477" i="14"/>
  <c r="AC475" i="14"/>
  <c r="AC614" i="14"/>
  <c r="AD453" i="14"/>
  <c r="C440" i="14"/>
  <c r="AC529" i="14"/>
  <c r="AD527" i="14"/>
  <c r="AD529" i="14"/>
  <c r="D757" i="14"/>
  <c r="AC57" i="9"/>
  <c r="AB237" i="14"/>
  <c r="AB270" i="14"/>
  <c r="Z274" i="14"/>
  <c r="U709" i="14"/>
  <c r="U698" i="14"/>
  <c r="U651" i="14"/>
  <c r="U653" i="14"/>
  <c r="AB539" i="14"/>
  <c r="AC545" i="14"/>
  <c r="AB551" i="14"/>
  <c r="Z253" i="14"/>
  <c r="Z255" i="14"/>
  <c r="AA67" i="9"/>
  <c r="AA76" i="9"/>
  <c r="Z667" i="14"/>
  <c r="F739" i="14"/>
  <c r="AA215" i="14"/>
  <c r="AB44" i="9"/>
  <c r="AB56" i="9"/>
  <c r="AA236" i="14"/>
  <c r="P653" i="14"/>
  <c r="P655" i="14"/>
  <c r="Z683" i="14"/>
  <c r="AA87" i="9"/>
  <c r="AA80" i="9"/>
  <c r="Z671" i="14"/>
  <c r="M410" i="14"/>
  <c r="M411" i="14"/>
  <c r="M414" i="14"/>
  <c r="M416" i="14"/>
  <c r="M710" i="14"/>
  <c r="M711" i="14"/>
  <c r="I731" i="14"/>
  <c r="I733" i="14"/>
  <c r="I728" i="14"/>
  <c r="I729" i="14"/>
  <c r="AB60" i="9"/>
  <c r="AA240" i="14"/>
  <c r="S706" i="14"/>
  <c r="S328" i="14"/>
  <c r="S330" i="14"/>
  <c r="W263" i="14"/>
  <c r="Y708" i="14"/>
  <c r="Y649" i="14"/>
  <c r="AB81" i="9"/>
  <c r="AA672" i="14"/>
  <c r="J721" i="14"/>
  <c r="J720" i="14"/>
  <c r="K718" i="14"/>
  <c r="K719" i="14"/>
  <c r="AA256" i="14"/>
  <c r="AA183" i="14"/>
  <c r="AA185" i="14"/>
  <c r="AC559" i="14"/>
  <c r="AD555" i="14"/>
  <c r="AD559" i="14"/>
  <c r="Y273" i="14"/>
  <c r="Y275" i="14"/>
  <c r="Y257" i="14"/>
  <c r="X324" i="14"/>
  <c r="X687" i="14"/>
  <c r="X689" i="14"/>
  <c r="Z668" i="14"/>
  <c r="AA77" i="9"/>
  <c r="AA472" i="14"/>
  <c r="Z473" i="14"/>
  <c r="Z479" i="14"/>
  <c r="AA63" i="9"/>
  <c r="Z243" i="14"/>
  <c r="AC62" i="9"/>
  <c r="AB242" i="14"/>
  <c r="AB59" i="9"/>
  <c r="AA239" i="14"/>
  <c r="Y678" i="14"/>
  <c r="AA266" i="14"/>
  <c r="AA693" i="14"/>
  <c r="AB93" i="9"/>
  <c r="Y302" i="14"/>
  <c r="Y303" i="14"/>
  <c r="Y317" i="14"/>
  <c r="Y326" i="14"/>
  <c r="Y682" i="14"/>
  <c r="Y684" i="14"/>
  <c r="AB247" i="14"/>
  <c r="AB182" i="14"/>
  <c r="AA78" i="9"/>
  <c r="Z669" i="14"/>
  <c r="Z727" i="14"/>
  <c r="AA97" i="9"/>
  <c r="AB61" i="9"/>
  <c r="AA241" i="14"/>
  <c r="G735" i="14"/>
  <c r="AA501" i="14"/>
  <c r="AA503" i="14"/>
  <c r="AB498" i="14"/>
  <c r="U298" i="14"/>
  <c r="U306" i="14"/>
  <c r="U297" i="14"/>
  <c r="AC373" i="14"/>
  <c r="AB377" i="14"/>
  <c r="AB378" i="14"/>
  <c r="AB414" i="14"/>
  <c r="AB416" i="14"/>
  <c r="AB710" i="14"/>
  <c r="AB385" i="14"/>
  <c r="AB389" i="14"/>
  <c r="AB404" i="14"/>
  <c r="AB408" i="14"/>
  <c r="AB55" i="9"/>
  <c r="AA235" i="14"/>
  <c r="AA45" i="9"/>
  <c r="Z216" i="14"/>
  <c r="Z219" i="14"/>
  <c r="Z220" i="14"/>
  <c r="Z221" i="14"/>
  <c r="Z226" i="14"/>
  <c r="H735" i="14"/>
  <c r="H737" i="14"/>
  <c r="H739" i="14"/>
  <c r="Q391" i="14"/>
  <c r="Q392" i="14"/>
  <c r="Z289" i="14"/>
  <c r="Z290" i="14"/>
  <c r="Z292" i="14"/>
  <c r="AA71" i="9"/>
  <c r="V277" i="14"/>
  <c r="V280" i="14"/>
  <c r="V282" i="14"/>
  <c r="V313" i="14"/>
  <c r="V323" i="14"/>
  <c r="V663" i="14"/>
  <c r="V665" i="14"/>
  <c r="V679" i="14"/>
  <c r="V696" i="14"/>
  <c r="C525" i="14"/>
  <c r="T321" i="14"/>
  <c r="S310" i="14"/>
  <c r="AA234" i="14"/>
  <c r="AB54" i="9"/>
  <c r="D771" i="14"/>
  <c r="AA43" i="9"/>
  <c r="Z214" i="14"/>
  <c r="X259" i="14"/>
  <c r="Z228" i="21"/>
  <c r="Z265" i="21"/>
  <c r="Z267" i="21"/>
  <c r="AA217" i="21"/>
  <c r="AA217" i="20"/>
  <c r="AA217" i="14"/>
  <c r="AB46" i="9"/>
  <c r="AC237" i="21"/>
  <c r="AC237" i="20"/>
  <c r="Z257" i="21"/>
  <c r="Z273" i="21"/>
  <c r="Z275" i="21"/>
  <c r="AB233" i="21"/>
  <c r="AB233" i="20"/>
  <c r="AB234" i="20"/>
  <c r="AB245" i="20"/>
  <c r="AB246" i="20"/>
  <c r="Z273" i="20"/>
  <c r="Z275" i="20"/>
  <c r="W325" i="21"/>
  <c r="W692" i="21"/>
  <c r="W694" i="21"/>
  <c r="W318" i="21"/>
  <c r="W652" i="21"/>
  <c r="Y257" i="20"/>
  <c r="Y273" i="20"/>
  <c r="Y275" i="20"/>
  <c r="AA254" i="21"/>
  <c r="AA254" i="20"/>
  <c r="AA254" i="14"/>
  <c r="AB68" i="9"/>
  <c r="AA253" i="21"/>
  <c r="AA255" i="21"/>
  <c r="AA253" i="20"/>
  <c r="Y265" i="14"/>
  <c r="Y267" i="14"/>
  <c r="S765" i="21"/>
  <c r="Y283" i="21"/>
  <c r="Y315" i="21"/>
  <c r="AA512" i="21"/>
  <c r="AA605" i="21"/>
  <c r="AA426" i="21"/>
  <c r="AA332" i="21"/>
  <c r="AA294" i="21"/>
  <c r="AA764" i="21"/>
  <c r="AA741" i="21"/>
  <c r="AA463" i="21"/>
  <c r="AA657" i="21"/>
  <c r="AA741" i="20"/>
  <c r="AA187" i="21"/>
  <c r="AA149" i="21"/>
  <c r="AA596" i="21"/>
  <c r="AA206" i="21"/>
  <c r="AA764" i="20"/>
  <c r="AA94" i="21"/>
  <c r="AA512" i="20"/>
  <c r="AA113" i="21"/>
  <c r="AA605" i="20"/>
  <c r="AA657" i="20"/>
  <c r="AA426" i="20"/>
  <c r="AA294" i="20"/>
  <c r="AA206" i="20"/>
  <c r="AA332" i="20"/>
  <c r="AA596" i="20"/>
  <c r="AA113" i="20"/>
  <c r="AA187" i="20"/>
  <c r="AA149" i="20"/>
  <c r="AA463" i="20"/>
  <c r="AA94" i="20"/>
  <c r="W696" i="21"/>
  <c r="W698" i="21"/>
  <c r="Y284" i="21"/>
  <c r="Y316" i="21"/>
  <c r="Y325" i="21"/>
  <c r="Y692" i="21"/>
  <c r="Y694" i="21"/>
  <c r="AA289" i="21"/>
  <c r="AA290" i="21"/>
  <c r="AA292" i="21"/>
  <c r="AA289" i="20"/>
  <c r="AA290" i="20"/>
  <c r="AA292" i="20"/>
  <c r="AA302" i="20"/>
  <c r="W325" i="20"/>
  <c r="W692" i="20"/>
  <c r="W694" i="20"/>
  <c r="W318" i="20"/>
  <c r="W652" i="20"/>
  <c r="AA668" i="21"/>
  <c r="AA668" i="20"/>
  <c r="AA726" i="21"/>
  <c r="AA726" i="20"/>
  <c r="AB234" i="21"/>
  <c r="AB235" i="21"/>
  <c r="AB235" i="20"/>
  <c r="AA238" i="21"/>
  <c r="AA238" i="20"/>
  <c r="AB58" i="9"/>
  <c r="AA238" i="14"/>
  <c r="AA675" i="21"/>
  <c r="AA675" i="20"/>
  <c r="AB84" i="9"/>
  <c r="AA675" i="14"/>
  <c r="AA243" i="21"/>
  <c r="AA243" i="20"/>
  <c r="AB693" i="21"/>
  <c r="AB693" i="20"/>
  <c r="AA671" i="21"/>
  <c r="AA671" i="20"/>
  <c r="AB241" i="21"/>
  <c r="AB241" i="20"/>
  <c r="Y259" i="21"/>
  <c r="AA667" i="21"/>
  <c r="AA667" i="20"/>
  <c r="AA216" i="21"/>
  <c r="AA219" i="21"/>
  <c r="AA220" i="21"/>
  <c r="AA221" i="21"/>
  <c r="AA226" i="21"/>
  <c r="AA216" i="20"/>
  <c r="AA219" i="20"/>
  <c r="AA220" i="20"/>
  <c r="AA221" i="20"/>
  <c r="AA226" i="20"/>
  <c r="AA674" i="20"/>
  <c r="AA674" i="21"/>
  <c r="AB239" i="21"/>
  <c r="AB239" i="20"/>
  <c r="AB95" i="21"/>
  <c r="AB95" i="20"/>
  <c r="AA688" i="21"/>
  <c r="AA688" i="20"/>
  <c r="AB90" i="9"/>
  <c r="AA688" i="14"/>
  <c r="AB672" i="21"/>
  <c r="AB672" i="20"/>
  <c r="AA683" i="21"/>
  <c r="AA683" i="20"/>
  <c r="Z678" i="20"/>
  <c r="AB732" i="21"/>
  <c r="AB732" i="20"/>
  <c r="AA727" i="21"/>
  <c r="AA727" i="20"/>
  <c r="AA218" i="21"/>
  <c r="AA218" i="20"/>
  <c r="AB236" i="21"/>
  <c r="AB236" i="20"/>
  <c r="AA214" i="21"/>
  <c r="AA214" i="20"/>
  <c r="AA669" i="21"/>
  <c r="AA669" i="20"/>
  <c r="AC242" i="21"/>
  <c r="AC242" i="20"/>
  <c r="AB215" i="21"/>
  <c r="AB215" i="20"/>
  <c r="AB240" i="21"/>
  <c r="AB240" i="20"/>
  <c r="AA670" i="21"/>
  <c r="AA670" i="20"/>
  <c r="AB223" i="21"/>
  <c r="AB223" i="20"/>
  <c r="Z302" i="21"/>
  <c r="Z303" i="21"/>
  <c r="Z317" i="21"/>
  <c r="Z326" i="21"/>
  <c r="Z682" i="21"/>
  <c r="Z684" i="21"/>
  <c r="Z678" i="21"/>
  <c r="AA673" i="21"/>
  <c r="AA673" i="20"/>
  <c r="AA673" i="14"/>
  <c r="AB82" i="9"/>
  <c r="AD745" i="21"/>
  <c r="C745" i="21"/>
  <c r="C15" i="21"/>
  <c r="AD766" i="21"/>
  <c r="C359" i="21"/>
  <c r="AB185" i="21"/>
  <c r="K747" i="21"/>
  <c r="K748" i="21"/>
  <c r="K757" i="21"/>
  <c r="J771" i="21"/>
  <c r="AC251" i="21"/>
  <c r="AD167" i="21"/>
  <c r="AC191" i="21"/>
  <c r="AD192" i="21"/>
  <c r="AD171" i="21"/>
  <c r="AD168" i="21"/>
  <c r="AD172" i="21"/>
  <c r="AD212" i="21"/>
  <c r="C166" i="21"/>
  <c r="AC172" i="21"/>
  <c r="AC183" i="21"/>
  <c r="U653" i="21"/>
  <c r="R391" i="21"/>
  <c r="S388" i="21"/>
  <c r="S390" i="21"/>
  <c r="R392" i="21"/>
  <c r="AD184" i="21"/>
  <c r="C184" i="21"/>
  <c r="C179" i="21"/>
  <c r="I739" i="21"/>
  <c r="C503" i="21"/>
  <c r="AD170" i="21"/>
  <c r="AA622" i="21"/>
  <c r="AA619" i="21"/>
  <c r="F771" i="21"/>
  <c r="AC231" i="21"/>
  <c r="AC224" i="21"/>
  <c r="Y263" i="21"/>
  <c r="X698" i="21"/>
  <c r="X709" i="21"/>
  <c r="K769" i="21"/>
  <c r="K770" i="21"/>
  <c r="AD492" i="21"/>
  <c r="AD494" i="21"/>
  <c r="U744" i="21"/>
  <c r="U765" i="21"/>
  <c r="AD373" i="21"/>
  <c r="AC377" i="21"/>
  <c r="AC378" i="21"/>
  <c r="AC414" i="21"/>
  <c r="AC416" i="21"/>
  <c r="AC710" i="21"/>
  <c r="AC385" i="21"/>
  <c r="AC389" i="21"/>
  <c r="AC404" i="21"/>
  <c r="AC408" i="21"/>
  <c r="F757" i="21"/>
  <c r="AC301" i="21"/>
  <c r="AC204" i="21"/>
  <c r="AC632" i="21"/>
  <c r="W643" i="21"/>
  <c r="W329" i="21"/>
  <c r="W645" i="21"/>
  <c r="M728" i="21"/>
  <c r="M729" i="21"/>
  <c r="M731" i="21"/>
  <c r="M733" i="21"/>
  <c r="Z640" i="21"/>
  <c r="Z664" i="21"/>
  <c r="X649" i="21"/>
  <c r="X708" i="21"/>
  <c r="V310" i="21"/>
  <c r="V311" i="21"/>
  <c r="W321" i="21"/>
  <c r="N720" i="21"/>
  <c r="O718" i="21"/>
  <c r="O719" i="21"/>
  <c r="N721" i="21"/>
  <c r="F749" i="21"/>
  <c r="G749" i="21"/>
  <c r="H749" i="21"/>
  <c r="L735" i="21"/>
  <c r="X297" i="21"/>
  <c r="X298" i="21"/>
  <c r="X306" i="21"/>
  <c r="Y643" i="21"/>
  <c r="Y329" i="21"/>
  <c r="Y645" i="21"/>
  <c r="V706" i="21"/>
  <c r="V711" i="21"/>
  <c r="V328" i="21"/>
  <c r="V330" i="21"/>
  <c r="R410" i="21"/>
  <c r="R411" i="21"/>
  <c r="AA324" i="21"/>
  <c r="AA687" i="21"/>
  <c r="AA689" i="21"/>
  <c r="AB296" i="21"/>
  <c r="AB195" i="21"/>
  <c r="AB618" i="21"/>
  <c r="AB636" i="21"/>
  <c r="AB633" i="21"/>
  <c r="AB638" i="21"/>
  <c r="AC171" i="21"/>
  <c r="AC182" i="21"/>
  <c r="AC185" i="21"/>
  <c r="AD204" i="21"/>
  <c r="AD301" i="21"/>
  <c r="C201" i="21"/>
  <c r="C301" i="21"/>
  <c r="C541" i="21"/>
  <c r="L735" i="20"/>
  <c r="L737" i="20"/>
  <c r="L739" i="20"/>
  <c r="Y638" i="20"/>
  <c r="Y624" i="20"/>
  <c r="X638" i="20"/>
  <c r="X640" i="20"/>
  <c r="F771" i="20"/>
  <c r="AD509" i="20"/>
  <c r="C509" i="20"/>
  <c r="C510" i="20"/>
  <c r="C494" i="20"/>
  <c r="AA248" i="20"/>
  <c r="AA269" i="20"/>
  <c r="AA271" i="20"/>
  <c r="W664" i="20"/>
  <c r="W665" i="20"/>
  <c r="W679" i="20"/>
  <c r="W696" i="20"/>
  <c r="W640" i="20"/>
  <c r="AB251" i="20"/>
  <c r="U706" i="20"/>
  <c r="U328" i="20"/>
  <c r="U330" i="20"/>
  <c r="AD377" i="20"/>
  <c r="AD385" i="20"/>
  <c r="AD404" i="20"/>
  <c r="X643" i="20"/>
  <c r="X329" i="20"/>
  <c r="X645" i="20"/>
  <c r="F757" i="20"/>
  <c r="F758" i="20"/>
  <c r="G758" i="20"/>
  <c r="W297" i="20"/>
  <c r="W298" i="20"/>
  <c r="W306" i="20"/>
  <c r="T651" i="20"/>
  <c r="T653" i="20"/>
  <c r="T655" i="20"/>
  <c r="T767" i="20"/>
  <c r="T746" i="20"/>
  <c r="Z636" i="20"/>
  <c r="Z633" i="20"/>
  <c r="Z638" i="20"/>
  <c r="H768" i="20"/>
  <c r="H747" i="20"/>
  <c r="AB224" i="20"/>
  <c r="F749" i="20"/>
  <c r="G749" i="20"/>
  <c r="R391" i="20"/>
  <c r="R392" i="20"/>
  <c r="J769" i="20"/>
  <c r="J770" i="20"/>
  <c r="AC212" i="20"/>
  <c r="AB191" i="20"/>
  <c r="AB192" i="20"/>
  <c r="AC167" i="20"/>
  <c r="AC168" i="20"/>
  <c r="T311" i="20"/>
  <c r="V698" i="20"/>
  <c r="V709" i="20"/>
  <c r="AC170" i="20"/>
  <c r="Y324" i="20"/>
  <c r="Y687" i="20"/>
  <c r="Y689" i="20"/>
  <c r="Z284" i="20"/>
  <c r="Z316" i="20"/>
  <c r="Z325" i="20"/>
  <c r="Z692" i="20"/>
  <c r="Z694" i="20"/>
  <c r="K735" i="20"/>
  <c r="T706" i="20"/>
  <c r="T328" i="20"/>
  <c r="T330" i="20"/>
  <c r="X277" i="20"/>
  <c r="X280" i="20"/>
  <c r="X282" i="20"/>
  <c r="X313" i="20"/>
  <c r="X323" i="20"/>
  <c r="X663" i="20"/>
  <c r="X665" i="20"/>
  <c r="X679" i="20"/>
  <c r="X696" i="20"/>
  <c r="AA192" i="20"/>
  <c r="AA303" i="20"/>
  <c r="AA317" i="20"/>
  <c r="AA326" i="20"/>
  <c r="AA682" i="20"/>
  <c r="AA684" i="20"/>
  <c r="AA204" i="20"/>
  <c r="AA632" i="20"/>
  <c r="AA301" i="20"/>
  <c r="Z265" i="20"/>
  <c r="Z267" i="20"/>
  <c r="Z228" i="20"/>
  <c r="Z622" i="20"/>
  <c r="Z619" i="20"/>
  <c r="AD166" i="20"/>
  <c r="AD170" i="20"/>
  <c r="C533" i="20"/>
  <c r="M728" i="20"/>
  <c r="M729" i="20"/>
  <c r="M731" i="20"/>
  <c r="M733" i="20"/>
  <c r="N720" i="20"/>
  <c r="O718" i="20"/>
  <c r="O719" i="20"/>
  <c r="N721" i="20"/>
  <c r="V321" i="20"/>
  <c r="U310" i="20"/>
  <c r="U311" i="20"/>
  <c r="P407" i="20"/>
  <c r="P409" i="20"/>
  <c r="V708" i="20"/>
  <c r="V649" i="20"/>
  <c r="AD178" i="20"/>
  <c r="R744" i="20"/>
  <c r="R765" i="20"/>
  <c r="AB231" i="20"/>
  <c r="L747" i="20"/>
  <c r="L748" i="20"/>
  <c r="L757" i="20"/>
  <c r="L768" i="20"/>
  <c r="Y664" i="20"/>
  <c r="Y640" i="20"/>
  <c r="U708" i="20"/>
  <c r="U649" i="20"/>
  <c r="AD458" i="20"/>
  <c r="C458" i="20"/>
  <c r="C453" i="20"/>
  <c r="S311" i="20"/>
  <c r="AB171" i="20"/>
  <c r="AB182" i="20"/>
  <c r="AB185" i="20"/>
  <c r="AD535" i="20"/>
  <c r="AC287" i="20"/>
  <c r="AB200" i="20"/>
  <c r="Z283" i="20"/>
  <c r="Z315" i="20"/>
  <c r="X767" i="14"/>
  <c r="Z492" i="14"/>
  <c r="Z494" i="14"/>
  <c r="Z509" i="14"/>
  <c r="Z645" i="14"/>
  <c r="Z708" i="14"/>
  <c r="Z643" i="14"/>
  <c r="AC676" i="14"/>
  <c r="AC677" i="14"/>
  <c r="AC227" i="14"/>
  <c r="AC181" i="14"/>
  <c r="R388" i="14"/>
  <c r="R390" i="14"/>
  <c r="R391" i="14"/>
  <c r="R392" i="14"/>
  <c r="C559" i="14"/>
  <c r="AA745" i="14"/>
  <c r="AA766" i="14"/>
  <c r="AB629" i="14"/>
  <c r="AC611" i="14"/>
  <c r="AB615" i="14"/>
  <c r="AB617" i="14"/>
  <c r="AB619" i="14"/>
  <c r="AB624" i="14"/>
  <c r="AB664" i="14"/>
  <c r="AB533" i="14"/>
  <c r="AC531" i="14"/>
  <c r="C529" i="14"/>
  <c r="AB483" i="14"/>
  <c r="AA540" i="14"/>
  <c r="AA541" i="14"/>
  <c r="AA484" i="14"/>
  <c r="AB357" i="14"/>
  <c r="AB359" i="14"/>
  <c r="AB648" i="14"/>
  <c r="AB738" i="14"/>
  <c r="AB320" i="14"/>
  <c r="AB642" i="14"/>
  <c r="AB697" i="14"/>
  <c r="AB628" i="14"/>
  <c r="AA631" i="14"/>
  <c r="AA633" i="14"/>
  <c r="AA638" i="14"/>
  <c r="AA640" i="14"/>
  <c r="AA643" i="14"/>
  <c r="AA245" i="14"/>
  <c r="AA246" i="14"/>
  <c r="AA269" i="14"/>
  <c r="AA271" i="14"/>
  <c r="AB96" i="9"/>
  <c r="AA726" i="14"/>
  <c r="Y284" i="14"/>
  <c r="Y316" i="14"/>
  <c r="Y325" i="14"/>
  <c r="Y692" i="14"/>
  <c r="Y694" i="14"/>
  <c r="AB36" i="9"/>
  <c r="AA294" i="14"/>
  <c r="AA512" i="14"/>
  <c r="AA426" i="14"/>
  <c r="AA764" i="14"/>
  <c r="AA149" i="14"/>
  <c r="AA605" i="14"/>
  <c r="AA332" i="14"/>
  <c r="AA657" i="14"/>
  <c r="AA94" i="14"/>
  <c r="AA206" i="14"/>
  <c r="AA741" i="14"/>
  <c r="AA596" i="14"/>
  <c r="AA113" i="14"/>
  <c r="AA463" i="14"/>
  <c r="AA187" i="14"/>
  <c r="X318" i="14"/>
  <c r="X652" i="14"/>
  <c r="AB47" i="9"/>
  <c r="AA218" i="14"/>
  <c r="AB233" i="14"/>
  <c r="AC53" i="9"/>
  <c r="AC37" i="9"/>
  <c r="AB95" i="14"/>
  <c r="AB223" i="14"/>
  <c r="AC49" i="9"/>
  <c r="AB83" i="9"/>
  <c r="AA674" i="14"/>
  <c r="I735" i="14"/>
  <c r="I737" i="14"/>
  <c r="I739" i="14"/>
  <c r="I747" i="14"/>
  <c r="I748" i="14"/>
  <c r="I757" i="14"/>
  <c r="AC98" i="9"/>
  <c r="AB732" i="14"/>
  <c r="AA253" i="14"/>
  <c r="AA255" i="14"/>
  <c r="AB67" i="9"/>
  <c r="V298" i="14"/>
  <c r="V306" i="14"/>
  <c r="V297" i="14"/>
  <c r="AC377" i="14"/>
  <c r="AC378" i="14"/>
  <c r="AC414" i="14"/>
  <c r="AC416" i="14"/>
  <c r="AC710" i="14"/>
  <c r="AD373" i="14"/>
  <c r="AC385" i="14"/>
  <c r="AC389" i="14"/>
  <c r="AC404" i="14"/>
  <c r="AC408" i="14"/>
  <c r="K721" i="14"/>
  <c r="K720" i="14"/>
  <c r="L718" i="14"/>
  <c r="L719" i="14"/>
  <c r="W277" i="14"/>
  <c r="W280" i="14"/>
  <c r="W282" i="14"/>
  <c r="W313" i="14"/>
  <c r="W323" i="14"/>
  <c r="W663" i="14"/>
  <c r="W665" i="14"/>
  <c r="W679" i="14"/>
  <c r="W696" i="14"/>
  <c r="AB215" i="14"/>
  <c r="AC44" i="9"/>
  <c r="F747" i="14"/>
  <c r="F768" i="14"/>
  <c r="AC270" i="14"/>
  <c r="AD270" i="14"/>
  <c r="AD475" i="14"/>
  <c r="AD477" i="14"/>
  <c r="AC477" i="14"/>
  <c r="J728" i="14"/>
  <c r="J729" i="14"/>
  <c r="J731" i="14"/>
  <c r="J733" i="14"/>
  <c r="AA669" i="14"/>
  <c r="AB78" i="9"/>
  <c r="AC93" i="9"/>
  <c r="AB693" i="14"/>
  <c r="AB472" i="14"/>
  <c r="AA473" i="14"/>
  <c r="AA479" i="14"/>
  <c r="Y746" i="14"/>
  <c r="Y767" i="14"/>
  <c r="AB87" i="9"/>
  <c r="AA683" i="14"/>
  <c r="Z257" i="14"/>
  <c r="Z273" i="14"/>
  <c r="Z275" i="14"/>
  <c r="AA727" i="14"/>
  <c r="AB97" i="9"/>
  <c r="AC59" i="9"/>
  <c r="AB239" i="14"/>
  <c r="AA216" i="14"/>
  <c r="AA219" i="14"/>
  <c r="AA220" i="14"/>
  <c r="AA221" i="14"/>
  <c r="AA226" i="14"/>
  <c r="AB45" i="9"/>
  <c r="G737" i="14"/>
  <c r="AC81" i="9"/>
  <c r="AB672" i="14"/>
  <c r="N407" i="14"/>
  <c r="N409" i="14"/>
  <c r="AD57" i="9"/>
  <c r="AC237" i="14"/>
  <c r="AD458" i="14"/>
  <c r="C458" i="14"/>
  <c r="C453" i="14"/>
  <c r="Y259" i="14"/>
  <c r="X263" i="14"/>
  <c r="AB43" i="9"/>
  <c r="AA214" i="14"/>
  <c r="AB63" i="9"/>
  <c r="AA243" i="14"/>
  <c r="AB77" i="9"/>
  <c r="AA668" i="14"/>
  <c r="AC60" i="9"/>
  <c r="AB240" i="14"/>
  <c r="AC551" i="14"/>
  <c r="AD545" i="14"/>
  <c r="AD551" i="14"/>
  <c r="V709" i="14"/>
  <c r="V698" i="14"/>
  <c r="V651" i="14"/>
  <c r="V653" i="14"/>
  <c r="AB501" i="14"/>
  <c r="AB503" i="14"/>
  <c r="AC498" i="14"/>
  <c r="AC247" i="14"/>
  <c r="AC182" i="14"/>
  <c r="Z678" i="14"/>
  <c r="AB76" i="9"/>
  <c r="AA667" i="14"/>
  <c r="AC539" i="14"/>
  <c r="AD62" i="9"/>
  <c r="AC242" i="14"/>
  <c r="AC56" i="9"/>
  <c r="AB236" i="14"/>
  <c r="H747" i="14"/>
  <c r="H748" i="14"/>
  <c r="H757" i="14"/>
  <c r="H768" i="14"/>
  <c r="AA289" i="14"/>
  <c r="AA290" i="14"/>
  <c r="AA292" i="14"/>
  <c r="AB71" i="9"/>
  <c r="AB234" i="14"/>
  <c r="AC54" i="9"/>
  <c r="AC61" i="9"/>
  <c r="AB241" i="14"/>
  <c r="AB266" i="14"/>
  <c r="D758" i="14"/>
  <c r="E758" i="14"/>
  <c r="AA670" i="14"/>
  <c r="AB79" i="9"/>
  <c r="Z265" i="14"/>
  <c r="Z267" i="14"/>
  <c r="Z228" i="14"/>
  <c r="S311" i="14"/>
  <c r="Z302" i="14"/>
  <c r="Z303" i="14"/>
  <c r="Z317" i="14"/>
  <c r="Z326" i="14"/>
  <c r="Z682" i="14"/>
  <c r="Z684" i="14"/>
  <c r="AC55" i="9"/>
  <c r="AB235" i="14"/>
  <c r="T706" i="14"/>
  <c r="T328" i="14"/>
  <c r="T330" i="14"/>
  <c r="T310" i="14"/>
  <c r="T311" i="14"/>
  <c r="U321" i="14"/>
  <c r="AB256" i="14"/>
  <c r="AB183" i="14"/>
  <c r="AB185" i="14"/>
  <c r="AB80" i="9"/>
  <c r="AA671" i="14"/>
  <c r="AA274" i="14"/>
  <c r="AD614" i="14"/>
  <c r="Z283" i="14"/>
  <c r="Z315" i="14"/>
  <c r="AA265" i="21"/>
  <c r="AA267" i="21"/>
  <c r="AA228" i="21"/>
  <c r="AC239" i="21"/>
  <c r="AC239" i="20"/>
  <c r="AA273" i="21"/>
  <c r="AA275" i="21"/>
  <c r="AA257" i="21"/>
  <c r="AA284" i="21"/>
  <c r="AA316" i="21"/>
  <c r="AB253" i="21"/>
  <c r="AB254" i="21"/>
  <c r="AB255" i="21"/>
  <c r="AB253" i="20"/>
  <c r="AB254" i="20"/>
  <c r="AB255" i="20"/>
  <c r="AB257" i="20"/>
  <c r="AD242" i="21"/>
  <c r="AD242" i="20"/>
  <c r="AC233" i="21"/>
  <c r="AC233" i="20"/>
  <c r="AC95" i="21"/>
  <c r="AC95" i="20"/>
  <c r="AC68" i="9"/>
  <c r="AB254" i="14"/>
  <c r="AB245" i="21"/>
  <c r="AB246" i="21"/>
  <c r="Z284" i="21"/>
  <c r="Z316" i="21"/>
  <c r="AC693" i="21"/>
  <c r="AC693" i="20"/>
  <c r="AB727" i="21"/>
  <c r="AB727" i="20"/>
  <c r="AC241" i="21"/>
  <c r="AC241" i="20"/>
  <c r="AC240" i="21"/>
  <c r="AC240" i="20"/>
  <c r="AD237" i="21"/>
  <c r="AD237" i="20"/>
  <c r="AC732" i="21"/>
  <c r="AC732" i="20"/>
  <c r="AB673" i="21"/>
  <c r="AB673" i="20"/>
  <c r="AC82" i="9"/>
  <c r="AB673" i="14"/>
  <c r="AB688" i="21"/>
  <c r="AB688" i="20"/>
  <c r="AC90" i="9"/>
  <c r="AB688" i="14"/>
  <c r="AB675" i="21"/>
  <c r="AB675" i="20"/>
  <c r="AB675" i="14"/>
  <c r="AC84" i="9"/>
  <c r="AC215" i="21"/>
  <c r="AC215" i="20"/>
  <c r="AC235" i="21"/>
  <c r="AC235" i="20"/>
  <c r="AB218" i="21"/>
  <c r="AB218" i="20"/>
  <c r="W709" i="21"/>
  <c r="AA678" i="20"/>
  <c r="AB217" i="21"/>
  <c r="AB216" i="21"/>
  <c r="AB219" i="21"/>
  <c r="AB220" i="21"/>
  <c r="AB221" i="21"/>
  <c r="AB226" i="21"/>
  <c r="AB217" i="20"/>
  <c r="AB216" i="20"/>
  <c r="AB219" i="20"/>
  <c r="AB220" i="20"/>
  <c r="AB221" i="20"/>
  <c r="AB226" i="20"/>
  <c r="AC46" i="9"/>
  <c r="AB217" i="14"/>
  <c r="AC234" i="21"/>
  <c r="AC245" i="21"/>
  <c r="AC246" i="21"/>
  <c r="AC248" i="21"/>
  <c r="AC234" i="20"/>
  <c r="AC245" i="20"/>
  <c r="AC246" i="20"/>
  <c r="AA678" i="21"/>
  <c r="Y284" i="20"/>
  <c r="Y316" i="20"/>
  <c r="Y259" i="20"/>
  <c r="Y263" i="20"/>
  <c r="AB726" i="21"/>
  <c r="AB726" i="20"/>
  <c r="AB671" i="21"/>
  <c r="AB671" i="20"/>
  <c r="AB238" i="21"/>
  <c r="AB238" i="20"/>
  <c r="AC58" i="9"/>
  <c r="AB238" i="14"/>
  <c r="Y324" i="21"/>
  <c r="Y687" i="21"/>
  <c r="Y689" i="21"/>
  <c r="Y318" i="21"/>
  <c r="Y652" i="21"/>
  <c r="AB667" i="21"/>
  <c r="AB667" i="20"/>
  <c r="AB683" i="21"/>
  <c r="AB683" i="20"/>
  <c r="AB243" i="21"/>
  <c r="AB243" i="20"/>
  <c r="AB674" i="20"/>
  <c r="AB674" i="21"/>
  <c r="AC236" i="21"/>
  <c r="AC236" i="20"/>
  <c r="AB668" i="21"/>
  <c r="AB668" i="20"/>
  <c r="AC672" i="21"/>
  <c r="AC672" i="20"/>
  <c r="AB214" i="21"/>
  <c r="AB214" i="20"/>
  <c r="AC223" i="21"/>
  <c r="AC223" i="20"/>
  <c r="AB605" i="21"/>
  <c r="AB426" i="21"/>
  <c r="AB332" i="21"/>
  <c r="AB294" i="21"/>
  <c r="AB764" i="21"/>
  <c r="AB741" i="21"/>
  <c r="AB463" i="21"/>
  <c r="AB596" i="21"/>
  <c r="AB512" i="21"/>
  <c r="AB187" i="21"/>
  <c r="AB657" i="20"/>
  <c r="AB149" i="21"/>
  <c r="AB206" i="21"/>
  <c r="AB94" i="21"/>
  <c r="AB657" i="21"/>
  <c r="AB113" i="21"/>
  <c r="AB596" i="20"/>
  <c r="AB741" i="20"/>
  <c r="AB426" i="20"/>
  <c r="AB294" i="20"/>
  <c r="AB332" i="20"/>
  <c r="AB512" i="20"/>
  <c r="AB187" i="20"/>
  <c r="AB149" i="20"/>
  <c r="AB463" i="20"/>
  <c r="AB605" i="20"/>
  <c r="AB764" i="20"/>
  <c r="AB94" i="20"/>
  <c r="AB113" i="20"/>
  <c r="AB206" i="20"/>
  <c r="AB669" i="21"/>
  <c r="AB669" i="20"/>
  <c r="AB289" i="21"/>
  <c r="AB290" i="21"/>
  <c r="AB292" i="21"/>
  <c r="AB289" i="20"/>
  <c r="AB290" i="20"/>
  <c r="AB292" i="20"/>
  <c r="AB302" i="20"/>
  <c r="AB670" i="21"/>
  <c r="AB670" i="20"/>
  <c r="AA302" i="21"/>
  <c r="AA303" i="21"/>
  <c r="AA317" i="21"/>
  <c r="AA326" i="21"/>
  <c r="AA682" i="21"/>
  <c r="AA684" i="21"/>
  <c r="AA255" i="20"/>
  <c r="Z259" i="21"/>
  <c r="Z263" i="21"/>
  <c r="AD183" i="21"/>
  <c r="C183" i="21"/>
  <c r="C172" i="21"/>
  <c r="AC269" i="21"/>
  <c r="AC271" i="21"/>
  <c r="AA259" i="21"/>
  <c r="C168" i="21"/>
  <c r="C251" i="21"/>
  <c r="C167" i="21"/>
  <c r="C165" i="21"/>
  <c r="X746" i="21"/>
  <c r="X767" i="21"/>
  <c r="X651" i="21"/>
  <c r="X653" i="21"/>
  <c r="Y708" i="21"/>
  <c r="Y649" i="21"/>
  <c r="I747" i="21"/>
  <c r="I768" i="21"/>
  <c r="AD224" i="21"/>
  <c r="N731" i="21"/>
  <c r="N733" i="21"/>
  <c r="N728" i="21"/>
  <c r="N729" i="21"/>
  <c r="Z643" i="21"/>
  <c r="Z329" i="21"/>
  <c r="Z645" i="21"/>
  <c r="AD182" i="21"/>
  <c r="C182" i="21"/>
  <c r="C171" i="21"/>
  <c r="AB622" i="21"/>
  <c r="AB619" i="21"/>
  <c r="AB624" i="21"/>
  <c r="X321" i="21"/>
  <c r="W310" i="21"/>
  <c r="W311" i="21"/>
  <c r="O720" i="21"/>
  <c r="P718" i="21"/>
  <c r="P719" i="21"/>
  <c r="O721" i="21"/>
  <c r="K771" i="21"/>
  <c r="AD251" i="21"/>
  <c r="W706" i="21"/>
  <c r="W711" i="21"/>
  <c r="W328" i="21"/>
  <c r="W330" i="21"/>
  <c r="M735" i="21"/>
  <c r="M737" i="21"/>
  <c r="M739" i="21"/>
  <c r="AD195" i="21"/>
  <c r="AD296" i="21"/>
  <c r="W649" i="21"/>
  <c r="W708" i="21"/>
  <c r="AD377" i="21"/>
  <c r="AD385" i="21"/>
  <c r="AD404" i="21"/>
  <c r="F758" i="21"/>
  <c r="G758" i="21"/>
  <c r="H758" i="21"/>
  <c r="AD231" i="21"/>
  <c r="AD509" i="21"/>
  <c r="C494" i="21"/>
  <c r="L737" i="21"/>
  <c r="AA624" i="21"/>
  <c r="R414" i="21"/>
  <c r="R416" i="21"/>
  <c r="R710" i="21"/>
  <c r="R711" i="21"/>
  <c r="V744" i="21"/>
  <c r="V765" i="21"/>
  <c r="S391" i="21"/>
  <c r="T388" i="21"/>
  <c r="T390" i="21"/>
  <c r="S392" i="21"/>
  <c r="S407" i="21"/>
  <c r="S409" i="21"/>
  <c r="AC636" i="21"/>
  <c r="AC633" i="21"/>
  <c r="AC638" i="21"/>
  <c r="Y277" i="21"/>
  <c r="Y280" i="21"/>
  <c r="Y282" i="21"/>
  <c r="Y313" i="21"/>
  <c r="Y323" i="21"/>
  <c r="Y663" i="21"/>
  <c r="Y665" i="21"/>
  <c r="Y679" i="21"/>
  <c r="Y696" i="21"/>
  <c r="AD655" i="21"/>
  <c r="AD654" i="21"/>
  <c r="C654" i="21"/>
  <c r="AD181" i="21"/>
  <c r="Z277" i="21"/>
  <c r="Z280" i="21"/>
  <c r="Z282" i="21"/>
  <c r="Z313" i="21"/>
  <c r="Z323" i="21"/>
  <c r="Z663" i="21"/>
  <c r="Z665" i="21"/>
  <c r="Z679" i="21"/>
  <c r="AD632" i="21"/>
  <c r="C204" i="21"/>
  <c r="AC192" i="21"/>
  <c r="C192" i="21"/>
  <c r="AD460" i="20"/>
  <c r="U711" i="20"/>
  <c r="O721" i="20"/>
  <c r="O720" i="20"/>
  <c r="P718" i="20"/>
  <c r="W698" i="20"/>
  <c r="W709" i="20"/>
  <c r="S744" i="20"/>
  <c r="S765" i="20"/>
  <c r="N728" i="20"/>
  <c r="N729" i="20"/>
  <c r="N731" i="20"/>
  <c r="N733" i="20"/>
  <c r="AA296" i="20"/>
  <c r="AA195" i="20"/>
  <c r="AA618" i="20"/>
  <c r="S388" i="20"/>
  <c r="S390" i="20"/>
  <c r="AB296" i="20"/>
  <c r="AB195" i="20"/>
  <c r="AB618" i="20"/>
  <c r="X698" i="20"/>
  <c r="X709" i="20"/>
  <c r="V310" i="20"/>
  <c r="V311" i="20"/>
  <c r="W321" i="20"/>
  <c r="Z624" i="20"/>
  <c r="X298" i="20"/>
  <c r="X306" i="20"/>
  <c r="X297" i="20"/>
  <c r="T765" i="20"/>
  <c r="T744" i="20"/>
  <c r="AB273" i="20"/>
  <c r="AB275" i="20"/>
  <c r="C460" i="20"/>
  <c r="C461" i="20"/>
  <c r="AD287" i="20"/>
  <c r="AC200" i="20"/>
  <c r="AD201" i="20"/>
  <c r="C178" i="20"/>
  <c r="C177" i="20"/>
  <c r="AC251" i="20"/>
  <c r="U767" i="20"/>
  <c r="U651" i="20"/>
  <c r="U653" i="20"/>
  <c r="U746" i="20"/>
  <c r="AD179" i="20"/>
  <c r="M735" i="20"/>
  <c r="M737" i="20"/>
  <c r="M739" i="20"/>
  <c r="Z259" i="20"/>
  <c r="AC231" i="20"/>
  <c r="W643" i="20"/>
  <c r="W329" i="20"/>
  <c r="W645" i="20"/>
  <c r="AB248" i="20"/>
  <c r="AB269" i="20"/>
  <c r="AB271" i="20"/>
  <c r="V767" i="20"/>
  <c r="V651" i="20"/>
  <c r="V653" i="20"/>
  <c r="V746" i="20"/>
  <c r="U765" i="20"/>
  <c r="U744" i="20"/>
  <c r="AC171" i="20"/>
  <c r="AC182" i="20"/>
  <c r="H748" i="20"/>
  <c r="H749" i="20"/>
  <c r="I749" i="20"/>
  <c r="J749" i="20"/>
  <c r="AD378" i="20"/>
  <c r="C377" i="20"/>
  <c r="Z324" i="20"/>
  <c r="Z687" i="20"/>
  <c r="Z689" i="20"/>
  <c r="Z318" i="20"/>
  <c r="Z652" i="20"/>
  <c r="Y329" i="20"/>
  <c r="Y643" i="20"/>
  <c r="Y645" i="20"/>
  <c r="Y277" i="20"/>
  <c r="Y280" i="20"/>
  <c r="Y282" i="20"/>
  <c r="Y313" i="20"/>
  <c r="Y323" i="20"/>
  <c r="Y663" i="20"/>
  <c r="Y665" i="20"/>
  <c r="Y679" i="20"/>
  <c r="K737" i="20"/>
  <c r="H770" i="20"/>
  <c r="H769" i="20"/>
  <c r="X708" i="20"/>
  <c r="X649" i="20"/>
  <c r="AC201" i="20"/>
  <c r="P410" i="20"/>
  <c r="P411" i="20"/>
  <c r="P414" i="20"/>
  <c r="P416" i="20"/>
  <c r="P710" i="20"/>
  <c r="P711" i="20"/>
  <c r="AA636" i="20"/>
  <c r="AA633" i="20"/>
  <c r="AA638" i="20"/>
  <c r="AC172" i="20"/>
  <c r="AC183" i="20"/>
  <c r="AA283" i="20"/>
  <c r="AA315" i="20"/>
  <c r="L769" i="20"/>
  <c r="L770" i="20"/>
  <c r="AB201" i="20"/>
  <c r="AC224" i="20"/>
  <c r="V706" i="20"/>
  <c r="V711" i="20"/>
  <c r="V328" i="20"/>
  <c r="V330" i="20"/>
  <c r="AD408" i="20"/>
  <c r="C408" i="20"/>
  <c r="C404" i="20"/>
  <c r="AD655" i="20"/>
  <c r="AD654" i="20"/>
  <c r="AD181" i="20"/>
  <c r="AA265" i="20"/>
  <c r="AA267" i="20"/>
  <c r="AA228" i="20"/>
  <c r="AD212" i="20"/>
  <c r="AD168" i="20"/>
  <c r="AC191" i="20"/>
  <c r="AD192" i="20"/>
  <c r="AD167" i="20"/>
  <c r="C166" i="20"/>
  <c r="AC655" i="20"/>
  <c r="AC654" i="20"/>
  <c r="AC181" i="20"/>
  <c r="J771" i="20"/>
  <c r="AD389" i="20"/>
  <c r="C389" i="20"/>
  <c r="C385" i="20"/>
  <c r="AA329" i="14"/>
  <c r="AA492" i="14"/>
  <c r="AA494" i="14"/>
  <c r="AA509" i="14"/>
  <c r="AA645" i="14"/>
  <c r="Z649" i="14"/>
  <c r="AB245" i="14"/>
  <c r="AB246" i="14"/>
  <c r="S388" i="14"/>
  <c r="S390" i="14"/>
  <c r="S391" i="14"/>
  <c r="S392" i="14"/>
  <c r="AD227" i="14"/>
  <c r="AD676" i="14"/>
  <c r="AD677" i="14"/>
  <c r="AD181" i="14"/>
  <c r="C181" i="14"/>
  <c r="AB631" i="14"/>
  <c r="AB633" i="14"/>
  <c r="AB638" i="14"/>
  <c r="AB640" i="14"/>
  <c r="AB329" i="14"/>
  <c r="AC628" i="14"/>
  <c r="AD531" i="14"/>
  <c r="AD533" i="14"/>
  <c r="AD535" i="14"/>
  <c r="AC533" i="14"/>
  <c r="AC535" i="14"/>
  <c r="AB535" i="14"/>
  <c r="AC615" i="14"/>
  <c r="AC617" i="14"/>
  <c r="AC619" i="14"/>
  <c r="AC624" i="14"/>
  <c r="AC664" i="14"/>
  <c r="AC629" i="14"/>
  <c r="AD611" i="14"/>
  <c r="AC738" i="14"/>
  <c r="AC357" i="14"/>
  <c r="AC359" i="14"/>
  <c r="AC648" i="14"/>
  <c r="AC320" i="14"/>
  <c r="AC642" i="14"/>
  <c r="AC697" i="14"/>
  <c r="AB745" i="14"/>
  <c r="AB766" i="14"/>
  <c r="AC483" i="14"/>
  <c r="AB540" i="14"/>
  <c r="AB541" i="14"/>
  <c r="AB484" i="14"/>
  <c r="AA248" i="14"/>
  <c r="AA283" i="14"/>
  <c r="AA315" i="14"/>
  <c r="AC96" i="9"/>
  <c r="AB726" i="14"/>
  <c r="Y318" i="14"/>
  <c r="Y652" i="14"/>
  <c r="I768" i="14"/>
  <c r="I769" i="14"/>
  <c r="AC36" i="9"/>
  <c r="AB463" i="14"/>
  <c r="AB657" i="14"/>
  <c r="AB206" i="14"/>
  <c r="AB741" i="14"/>
  <c r="AB113" i="14"/>
  <c r="AB596" i="14"/>
  <c r="AB187" i="14"/>
  <c r="AB294" i="14"/>
  <c r="AB764" i="14"/>
  <c r="AB605" i="14"/>
  <c r="AB512" i="14"/>
  <c r="AB332" i="14"/>
  <c r="AB426" i="14"/>
  <c r="AB94" i="14"/>
  <c r="AB149" i="14"/>
  <c r="AC47" i="9"/>
  <c r="AB218" i="14"/>
  <c r="AC83" i="9"/>
  <c r="AB674" i="14"/>
  <c r="AC95" i="14"/>
  <c r="AD37" i="9"/>
  <c r="AC223" i="14"/>
  <c r="AD49" i="9"/>
  <c r="AD53" i="9"/>
  <c r="AC233" i="14"/>
  <c r="AD98" i="9"/>
  <c r="AC732" i="14"/>
  <c r="AA228" i="14"/>
  <c r="AA265" i="14"/>
  <c r="AA267" i="14"/>
  <c r="AD56" i="9"/>
  <c r="AC236" i="14"/>
  <c r="X277" i="14"/>
  <c r="X280" i="14"/>
  <c r="X282" i="14"/>
  <c r="X313" i="14"/>
  <c r="X323" i="14"/>
  <c r="X663" i="14"/>
  <c r="X665" i="14"/>
  <c r="X679" i="14"/>
  <c r="X696" i="14"/>
  <c r="N410" i="14"/>
  <c r="N411" i="14"/>
  <c r="N414" i="14"/>
  <c r="N416" i="14"/>
  <c r="N710" i="14"/>
  <c r="N711" i="14"/>
  <c r="AA708" i="14"/>
  <c r="AA649" i="14"/>
  <c r="AD44" i="9"/>
  <c r="AC215" i="14"/>
  <c r="U310" i="14"/>
  <c r="U311" i="14"/>
  <c r="V321" i="14"/>
  <c r="AB668" i="14"/>
  <c r="AC77" i="9"/>
  <c r="AB248" i="14"/>
  <c r="AB269" i="14"/>
  <c r="AB271" i="14"/>
  <c r="AD539" i="14"/>
  <c r="AC472" i="14"/>
  <c r="AB473" i="14"/>
  <c r="AB479" i="14"/>
  <c r="AB253" i="14"/>
  <c r="AB255" i="14"/>
  <c r="AC67" i="9"/>
  <c r="AC45" i="9"/>
  <c r="AB216" i="14"/>
  <c r="AC80" i="9"/>
  <c r="AB671" i="14"/>
  <c r="AD81" i="9"/>
  <c r="AC672" i="14"/>
  <c r="AC501" i="14"/>
  <c r="AC503" i="14"/>
  <c r="AD498" i="14"/>
  <c r="AD501" i="14"/>
  <c r="AD503" i="14"/>
  <c r="T744" i="14"/>
  <c r="T765" i="14"/>
  <c r="AD237" i="14"/>
  <c r="AB670" i="14"/>
  <c r="AC79" i="9"/>
  <c r="AB289" i="14"/>
  <c r="AB290" i="14"/>
  <c r="AB292" i="14"/>
  <c r="AC71" i="9"/>
  <c r="AD247" i="14"/>
  <c r="AD182" i="14"/>
  <c r="AD59" i="9"/>
  <c r="AC239" i="14"/>
  <c r="AB683" i="14"/>
  <c r="AC87" i="9"/>
  <c r="J735" i="14"/>
  <c r="AA273" i="14"/>
  <c r="AA275" i="14"/>
  <c r="AA257" i="14"/>
  <c r="AD61" i="9"/>
  <c r="AC241" i="14"/>
  <c r="AC63" i="9"/>
  <c r="AB243" i="14"/>
  <c r="Y263" i="14"/>
  <c r="AC266" i="14"/>
  <c r="AD266" i="14"/>
  <c r="AD55" i="9"/>
  <c r="AC235" i="14"/>
  <c r="AB274" i="14"/>
  <c r="U706" i="14"/>
  <c r="U711" i="14"/>
  <c r="U328" i="14"/>
  <c r="U330" i="14"/>
  <c r="AC76" i="9"/>
  <c r="AB667" i="14"/>
  <c r="W709" i="14"/>
  <c r="W698" i="14"/>
  <c r="W651" i="14"/>
  <c r="W653" i="14"/>
  <c r="AC256" i="14"/>
  <c r="AC183" i="14"/>
  <c r="AC185" i="14"/>
  <c r="AA302" i="14"/>
  <c r="AA303" i="14"/>
  <c r="AA317" i="14"/>
  <c r="AA326" i="14"/>
  <c r="AA682" i="14"/>
  <c r="AA684" i="14"/>
  <c r="AD60" i="9"/>
  <c r="AC240" i="14"/>
  <c r="AB669" i="14"/>
  <c r="AC78" i="9"/>
  <c r="W298" i="14"/>
  <c r="W306" i="14"/>
  <c r="W297" i="14"/>
  <c r="AD377" i="14"/>
  <c r="AD385" i="14"/>
  <c r="AD404" i="14"/>
  <c r="Z259" i="14"/>
  <c r="H770" i="14"/>
  <c r="H769" i="14"/>
  <c r="AD242" i="14"/>
  <c r="G739" i="14"/>
  <c r="Z746" i="14"/>
  <c r="Z767" i="14"/>
  <c r="F770" i="14"/>
  <c r="F769" i="14"/>
  <c r="L720" i="14"/>
  <c r="M718" i="14"/>
  <c r="M719" i="14"/>
  <c r="L721" i="14"/>
  <c r="F748" i="14"/>
  <c r="F749" i="14"/>
  <c r="K731" i="14"/>
  <c r="K733" i="14"/>
  <c r="K728" i="14"/>
  <c r="K729" i="14"/>
  <c r="AC693" i="14"/>
  <c r="AD93" i="9"/>
  <c r="Z324" i="14"/>
  <c r="Z687" i="14"/>
  <c r="Z689" i="14"/>
  <c r="S744" i="14"/>
  <c r="S765" i="14"/>
  <c r="AC234" i="14"/>
  <c r="AD54" i="9"/>
  <c r="C551" i="14"/>
  <c r="AA678" i="14"/>
  <c r="AC43" i="9"/>
  <c r="AB214" i="14"/>
  <c r="AD460" i="14"/>
  <c r="AB727" i="14"/>
  <c r="AC97" i="9"/>
  <c r="Z284" i="14"/>
  <c r="Z316" i="14"/>
  <c r="Z325" i="14"/>
  <c r="Z692" i="14"/>
  <c r="Z694" i="14"/>
  <c r="AB265" i="21"/>
  <c r="AB267" i="21"/>
  <c r="AB228" i="21"/>
  <c r="AD235" i="21"/>
  <c r="AD235" i="20"/>
  <c r="AC683" i="21"/>
  <c r="AC683" i="20"/>
  <c r="AD223" i="21"/>
  <c r="AD223" i="20"/>
  <c r="AC426" i="21"/>
  <c r="AC332" i="21"/>
  <c r="AC294" i="21"/>
  <c r="AC764" i="21"/>
  <c r="AC741" i="21"/>
  <c r="AC463" i="21"/>
  <c r="AC596" i="21"/>
  <c r="AC512" i="21"/>
  <c r="AC605" i="21"/>
  <c r="AC149" i="21"/>
  <c r="AC206" i="21"/>
  <c r="AC657" i="21"/>
  <c r="AC113" i="21"/>
  <c r="AC596" i="20"/>
  <c r="AC426" i="20"/>
  <c r="AC294" i="20"/>
  <c r="AC206" i="20"/>
  <c r="AC657" i="20"/>
  <c r="AC332" i="20"/>
  <c r="AC187" i="21"/>
  <c r="AC512" i="20"/>
  <c r="AC463" i="20"/>
  <c r="AC94" i="21"/>
  <c r="AC764" i="20"/>
  <c r="AC605" i="20"/>
  <c r="AC741" i="20"/>
  <c r="AC94" i="20"/>
  <c r="AC187" i="20"/>
  <c r="AC149" i="20"/>
  <c r="AC113" i="20"/>
  <c r="AC238" i="21"/>
  <c r="AC238" i="20"/>
  <c r="AC238" i="14"/>
  <c r="AD58" i="9"/>
  <c r="AC673" i="21"/>
  <c r="AC673" i="20"/>
  <c r="AD82" i="9"/>
  <c r="AC673" i="14"/>
  <c r="AD239" i="21"/>
  <c r="AD239" i="20"/>
  <c r="AC675" i="21"/>
  <c r="AC675" i="20"/>
  <c r="AD84" i="9"/>
  <c r="AC675" i="14"/>
  <c r="Z325" i="21"/>
  <c r="Z692" i="21"/>
  <c r="Z694" i="21"/>
  <c r="Z696" i="21"/>
  <c r="Z318" i="21"/>
  <c r="Z652" i="21"/>
  <c r="AB302" i="21"/>
  <c r="AB303" i="21"/>
  <c r="AB317" i="21"/>
  <c r="AB326" i="21"/>
  <c r="AB682" i="21"/>
  <c r="AB684" i="21"/>
  <c r="AB269" i="21"/>
  <c r="AB271" i="21"/>
  <c r="AB248" i="21"/>
  <c r="AB257" i="21"/>
  <c r="AB273" i="21"/>
  <c r="AB275" i="21"/>
  <c r="AB284" i="21"/>
  <c r="AB316" i="21"/>
  <c r="AB325" i="21"/>
  <c r="AB692" i="21"/>
  <c r="AB694" i="21"/>
  <c r="AC674" i="21"/>
  <c r="AC674" i="20"/>
  <c r="AA325" i="21"/>
  <c r="AA692" i="21"/>
  <c r="AA694" i="21"/>
  <c r="AA318" i="21"/>
  <c r="AA652" i="21"/>
  <c r="AC727" i="21"/>
  <c r="AC727" i="20"/>
  <c r="AD233" i="21"/>
  <c r="AD233" i="20"/>
  <c r="AC217" i="21"/>
  <c r="AC216" i="21"/>
  <c r="AC219" i="21"/>
  <c r="AC220" i="21"/>
  <c r="AC221" i="21"/>
  <c r="AC226" i="21"/>
  <c r="AC217" i="20"/>
  <c r="AC216" i="20"/>
  <c r="AC219" i="20"/>
  <c r="AC220" i="20"/>
  <c r="AC221" i="20"/>
  <c r="AC226" i="20"/>
  <c r="AC217" i="14"/>
  <c r="AD46" i="9"/>
  <c r="AC254" i="21"/>
  <c r="AC254" i="20"/>
  <c r="AC254" i="14"/>
  <c r="AD68" i="9"/>
  <c r="AD240" i="21"/>
  <c r="AD240" i="20"/>
  <c r="AC214" i="21"/>
  <c r="AC214" i="20"/>
  <c r="AD672" i="21"/>
  <c r="AD672" i="20"/>
  <c r="AC726" i="21"/>
  <c r="AC726" i="20"/>
  <c r="AD234" i="21"/>
  <c r="AD234" i="20"/>
  <c r="AC243" i="21"/>
  <c r="AC243" i="20"/>
  <c r="AC667" i="21"/>
  <c r="AC667" i="20"/>
  <c r="AC671" i="21"/>
  <c r="AC671" i="20"/>
  <c r="AB678" i="20"/>
  <c r="Y325" i="20"/>
  <c r="Y692" i="20"/>
  <c r="Y694" i="20"/>
  <c r="Y696" i="20"/>
  <c r="Y698" i="20"/>
  <c r="AC668" i="21"/>
  <c r="AC668" i="20"/>
  <c r="AD241" i="21"/>
  <c r="AD241" i="20"/>
  <c r="AC670" i="21"/>
  <c r="AC670" i="20"/>
  <c r="AB219" i="14"/>
  <c r="AB220" i="14"/>
  <c r="AB221" i="14"/>
  <c r="AB226" i="14"/>
  <c r="AC218" i="21"/>
  <c r="AC218" i="20"/>
  <c r="AB678" i="21"/>
  <c r="AC688" i="21"/>
  <c r="AC688" i="20"/>
  <c r="AD90" i="9"/>
  <c r="AC688" i="14"/>
  <c r="AD693" i="21"/>
  <c r="AD693" i="20"/>
  <c r="AD95" i="21"/>
  <c r="AD95" i="20"/>
  <c r="AC289" i="21"/>
  <c r="AC290" i="21"/>
  <c r="AC292" i="21"/>
  <c r="AC289" i="20"/>
  <c r="AC290" i="20"/>
  <c r="AC292" i="20"/>
  <c r="AC302" i="20"/>
  <c r="AC669" i="21"/>
  <c r="AC669" i="20"/>
  <c r="AD732" i="21"/>
  <c r="AD732" i="20"/>
  <c r="Y318" i="20"/>
  <c r="Y652" i="20"/>
  <c r="AD236" i="21"/>
  <c r="AD236" i="20"/>
  <c r="AC253" i="21"/>
  <c r="AC255" i="21"/>
  <c r="AC253" i="20"/>
  <c r="AC255" i="20"/>
  <c r="AD215" i="21"/>
  <c r="AD215" i="20"/>
  <c r="AA257" i="20"/>
  <c r="AA273" i="20"/>
  <c r="AA275" i="20"/>
  <c r="N735" i="21"/>
  <c r="N737" i="21"/>
  <c r="N739" i="21"/>
  <c r="P719" i="20"/>
  <c r="P721" i="20"/>
  <c r="N768" i="21"/>
  <c r="N747" i="21"/>
  <c r="N748" i="21"/>
  <c r="N757" i="21"/>
  <c r="L739" i="21"/>
  <c r="AD636" i="21"/>
  <c r="C636" i="21"/>
  <c r="C632" i="21"/>
  <c r="AD633" i="21"/>
  <c r="C509" i="21"/>
  <c r="C510" i="21"/>
  <c r="O731" i="21"/>
  <c r="O733" i="21"/>
  <c r="O728" i="21"/>
  <c r="O729" i="21"/>
  <c r="P721" i="21"/>
  <c r="P720" i="21"/>
  <c r="Q718" i="21"/>
  <c r="Q719" i="21"/>
  <c r="W744" i="21"/>
  <c r="W765" i="21"/>
  <c r="Z298" i="21"/>
  <c r="Z306" i="21"/>
  <c r="Z297" i="21"/>
  <c r="S410" i="21"/>
  <c r="S411" i="21"/>
  <c r="C9" i="21"/>
  <c r="S414" i="21"/>
  <c r="S416" i="21"/>
  <c r="S710" i="21"/>
  <c r="S711" i="21"/>
  <c r="X706" i="21"/>
  <c r="X711" i="21"/>
  <c r="X328" i="21"/>
  <c r="X330" i="21"/>
  <c r="T392" i="21"/>
  <c r="T391" i="21"/>
  <c r="C391" i="21"/>
  <c r="AB640" i="21"/>
  <c r="AB664" i="21"/>
  <c r="I770" i="21"/>
  <c r="I769" i="21"/>
  <c r="AD408" i="21"/>
  <c r="C408" i="21"/>
  <c r="C404" i="21"/>
  <c r="I748" i="21"/>
  <c r="AA263" i="21"/>
  <c r="AD389" i="21"/>
  <c r="C389" i="21"/>
  <c r="C385" i="21"/>
  <c r="M768" i="21"/>
  <c r="M747" i="21"/>
  <c r="M748" i="21"/>
  <c r="M757" i="21"/>
  <c r="Y767" i="21"/>
  <c r="Y746" i="21"/>
  <c r="Y698" i="21"/>
  <c r="Y651" i="21"/>
  <c r="Y653" i="21"/>
  <c r="Y709" i="21"/>
  <c r="AC283" i="21"/>
  <c r="AC315" i="21"/>
  <c r="AD185" i="21"/>
  <c r="C185" i="21"/>
  <c r="C181" i="21"/>
  <c r="AD618" i="21"/>
  <c r="C195" i="21"/>
  <c r="AC296" i="21"/>
  <c r="C296" i="21"/>
  <c r="AC195" i="21"/>
  <c r="AC618" i="21"/>
  <c r="AD378" i="21"/>
  <c r="C377" i="21"/>
  <c r="Y297" i="21"/>
  <c r="Y298" i="21"/>
  <c r="Y306" i="21"/>
  <c r="AA640" i="21"/>
  <c r="AA664" i="21"/>
  <c r="Z708" i="21"/>
  <c r="Z649" i="21"/>
  <c r="W746" i="21"/>
  <c r="W767" i="21"/>
  <c r="W651" i="21"/>
  <c r="W653" i="21"/>
  <c r="AC185" i="20"/>
  <c r="Q407" i="20"/>
  <c r="Q409" i="20"/>
  <c r="AC192" i="20"/>
  <c r="C192" i="20"/>
  <c r="AB283" i="20"/>
  <c r="AB315" i="20"/>
  <c r="AB324" i="20"/>
  <c r="AB687" i="20"/>
  <c r="AB689" i="20"/>
  <c r="H771" i="20"/>
  <c r="N735" i="20"/>
  <c r="N737" i="20"/>
  <c r="N739" i="20"/>
  <c r="N768" i="20"/>
  <c r="L771" i="20"/>
  <c r="AC269" i="20"/>
  <c r="AC271" i="20"/>
  <c r="AC248" i="20"/>
  <c r="AC283" i="20"/>
  <c r="AC315" i="20"/>
  <c r="AA259" i="20"/>
  <c r="AB303" i="20"/>
  <c r="AB317" i="20"/>
  <c r="AB326" i="20"/>
  <c r="AB682" i="20"/>
  <c r="AB684" i="20"/>
  <c r="AB301" i="20"/>
  <c r="AB204" i="20"/>
  <c r="AB632" i="20"/>
  <c r="Z263" i="20"/>
  <c r="AA622" i="20"/>
  <c r="AA619" i="20"/>
  <c r="S391" i="20"/>
  <c r="S392" i="20"/>
  <c r="V765" i="20"/>
  <c r="V744" i="20"/>
  <c r="M768" i="20"/>
  <c r="M747" i="20"/>
  <c r="M748" i="20"/>
  <c r="M757" i="20"/>
  <c r="W706" i="20"/>
  <c r="W328" i="20"/>
  <c r="W330" i="20"/>
  <c r="AD224" i="20"/>
  <c r="C9" i="20"/>
  <c r="AD414" i="20"/>
  <c r="C378" i="20"/>
  <c r="AD184" i="20"/>
  <c r="C184" i="20"/>
  <c r="C179" i="20"/>
  <c r="AB284" i="20"/>
  <c r="AB316" i="20"/>
  <c r="AB325" i="20"/>
  <c r="AB692" i="20"/>
  <c r="AB694" i="20"/>
  <c r="C181" i="20"/>
  <c r="AC296" i="20"/>
  <c r="AC195" i="20"/>
  <c r="AC618" i="20"/>
  <c r="X767" i="20"/>
  <c r="X746" i="20"/>
  <c r="X651" i="20"/>
  <c r="X653" i="20"/>
  <c r="C654" i="20"/>
  <c r="AA324" i="20"/>
  <c r="AA687" i="20"/>
  <c r="AA689" i="20"/>
  <c r="W708" i="20"/>
  <c r="W649" i="20"/>
  <c r="AB265" i="20"/>
  <c r="AB267" i="20"/>
  <c r="AB228" i="20"/>
  <c r="C167" i="20"/>
  <c r="C168" i="20"/>
  <c r="C251" i="20"/>
  <c r="C165" i="20"/>
  <c r="K739" i="20"/>
  <c r="AD245" i="20"/>
  <c r="AD246" i="20"/>
  <c r="AD231" i="20"/>
  <c r="H757" i="20"/>
  <c r="AD171" i="20"/>
  <c r="Y297" i="20"/>
  <c r="Y298" i="20"/>
  <c r="Y306" i="20"/>
  <c r="AD296" i="20"/>
  <c r="AD195" i="20"/>
  <c r="Y708" i="20"/>
  <c r="Y649" i="20"/>
  <c r="AC257" i="20"/>
  <c r="AC273" i="20"/>
  <c r="AC275" i="20"/>
  <c r="X321" i="20"/>
  <c r="W310" i="20"/>
  <c r="AD251" i="20"/>
  <c r="Z640" i="20"/>
  <c r="Z664" i="20"/>
  <c r="AB622" i="20"/>
  <c r="AB619" i="20"/>
  <c r="AB624" i="20"/>
  <c r="Q410" i="20"/>
  <c r="Q411" i="20"/>
  <c r="Q414" i="20"/>
  <c r="Q416" i="20"/>
  <c r="Q710" i="20"/>
  <c r="Q711" i="20"/>
  <c r="AD172" i="20"/>
  <c r="AC301" i="20"/>
  <c r="AC303" i="20"/>
  <c r="AC317" i="20"/>
  <c r="AC326" i="20"/>
  <c r="AC682" i="20"/>
  <c r="AC684" i="20"/>
  <c r="AC204" i="20"/>
  <c r="AC632" i="20"/>
  <c r="AD301" i="20"/>
  <c r="AD204" i="20"/>
  <c r="C201" i="20"/>
  <c r="C301" i="20"/>
  <c r="O731" i="20"/>
  <c r="O733" i="20"/>
  <c r="O728" i="20"/>
  <c r="O729" i="20"/>
  <c r="C503" i="14"/>
  <c r="AB643" i="14"/>
  <c r="C533" i="14"/>
  <c r="AD615" i="14"/>
  <c r="AD617" i="14"/>
  <c r="AD619" i="14"/>
  <c r="AD629" i="14"/>
  <c r="AD483" i="14"/>
  <c r="AC540" i="14"/>
  <c r="AC541" i="14"/>
  <c r="AC484" i="14"/>
  <c r="AB492" i="14"/>
  <c r="AB494" i="14"/>
  <c r="AB509" i="14"/>
  <c r="AB645" i="14"/>
  <c r="AB649" i="14"/>
  <c r="AD628" i="14"/>
  <c r="AD631" i="14"/>
  <c r="AD633" i="14"/>
  <c r="AD638" i="14"/>
  <c r="AC631" i="14"/>
  <c r="AC633" i="14"/>
  <c r="AD357" i="14"/>
  <c r="AD359" i="14"/>
  <c r="C359" i="14"/>
  <c r="AD320" i="14"/>
  <c r="AD648" i="14"/>
  <c r="AD642" i="14"/>
  <c r="AD697" i="14"/>
  <c r="AD738" i="14"/>
  <c r="AC745" i="14"/>
  <c r="AC766" i="14"/>
  <c r="K735" i="14"/>
  <c r="K737" i="14"/>
  <c r="K739" i="14"/>
  <c r="K747" i="14"/>
  <c r="K748" i="14"/>
  <c r="K757" i="14"/>
  <c r="AA284" i="14"/>
  <c r="AA316" i="14"/>
  <c r="AA325" i="14"/>
  <c r="AA692" i="14"/>
  <c r="AA694" i="14"/>
  <c r="I770" i="14"/>
  <c r="I771" i="14"/>
  <c r="AC245" i="14"/>
  <c r="AC246" i="14"/>
  <c r="AC248" i="14"/>
  <c r="AC726" i="14"/>
  <c r="AD96" i="9"/>
  <c r="F771" i="14"/>
  <c r="AC206" i="14"/>
  <c r="AC657" i="14"/>
  <c r="AC463" i="14"/>
  <c r="AC605" i="14"/>
  <c r="AC741" i="14"/>
  <c r="AC512" i="14"/>
  <c r="AC332" i="14"/>
  <c r="AC94" i="14"/>
  <c r="AC149" i="14"/>
  <c r="AC596" i="14"/>
  <c r="AC294" i="14"/>
  <c r="AC764" i="14"/>
  <c r="AC187" i="14"/>
  <c r="AD36" i="9"/>
  <c r="AC426" i="14"/>
  <c r="AC113" i="14"/>
  <c r="AD47" i="9"/>
  <c r="AC218" i="14"/>
  <c r="AA324" i="14"/>
  <c r="AA687" i="14"/>
  <c r="AA689" i="14"/>
  <c r="AD233" i="14"/>
  <c r="AD83" i="9"/>
  <c r="AC674" i="14"/>
  <c r="AD223" i="14"/>
  <c r="AD95" i="14"/>
  <c r="AD732" i="14"/>
  <c r="AD239" i="14"/>
  <c r="Z263" i="14"/>
  <c r="AD79" i="9"/>
  <c r="AC670" i="14"/>
  <c r="AB283" i="14"/>
  <c r="AB315" i="14"/>
  <c r="AD215" i="14"/>
  <c r="X709" i="14"/>
  <c r="X698" i="14"/>
  <c r="X651" i="14"/>
  <c r="X653" i="14"/>
  <c r="AD274" i="14"/>
  <c r="AC274" i="14"/>
  <c r="AD408" i="14"/>
  <c r="C408" i="14"/>
  <c r="C404" i="14"/>
  <c r="AC216" i="14"/>
  <c r="AD45" i="9"/>
  <c r="X298" i="14"/>
  <c r="X306" i="14"/>
  <c r="X297" i="14"/>
  <c r="AD43" i="9"/>
  <c r="AC214" i="14"/>
  <c r="AB228" i="14"/>
  <c r="AB265" i="14"/>
  <c r="AB267" i="14"/>
  <c r="AD389" i="14"/>
  <c r="C389" i="14"/>
  <c r="C385" i="14"/>
  <c r="AD76" i="9"/>
  <c r="AC667" i="14"/>
  <c r="J737" i="14"/>
  <c r="AA746" i="14"/>
  <c r="AA767" i="14"/>
  <c r="AD235" i="14"/>
  <c r="C182" i="14"/>
  <c r="AD78" i="9"/>
  <c r="AC669" i="14"/>
  <c r="AD472" i="14"/>
  <c r="AD473" i="14"/>
  <c r="AD479" i="14"/>
  <c r="AC473" i="14"/>
  <c r="AC479" i="14"/>
  <c r="U744" i="14"/>
  <c r="U765" i="14"/>
  <c r="Z318" i="14"/>
  <c r="Z652" i="14"/>
  <c r="W321" i="14"/>
  <c r="V310" i="14"/>
  <c r="AD80" i="9"/>
  <c r="AC671" i="14"/>
  <c r="AC253" i="14"/>
  <c r="AC255" i="14"/>
  <c r="AD67" i="9"/>
  <c r="AD77" i="9"/>
  <c r="AC668" i="14"/>
  <c r="AD87" i="9"/>
  <c r="AC683" i="14"/>
  <c r="AC289" i="14"/>
  <c r="AC290" i="14"/>
  <c r="AC292" i="14"/>
  <c r="AD71" i="9"/>
  <c r="AB678" i="14"/>
  <c r="T388" i="14"/>
  <c r="T390" i="14"/>
  <c r="H771" i="14"/>
  <c r="AD240" i="14"/>
  <c r="AD672" i="14"/>
  <c r="AB257" i="14"/>
  <c r="AB273" i="14"/>
  <c r="AB275" i="14"/>
  <c r="V706" i="14"/>
  <c r="V711" i="14"/>
  <c r="V328" i="14"/>
  <c r="V330" i="14"/>
  <c r="F757" i="14"/>
  <c r="AD256" i="14"/>
  <c r="AD183" i="14"/>
  <c r="C183" i="14"/>
  <c r="Y277" i="14"/>
  <c r="Y280" i="14"/>
  <c r="Y282" i="14"/>
  <c r="Y313" i="14"/>
  <c r="Y323" i="14"/>
  <c r="Y663" i="14"/>
  <c r="Y665" i="14"/>
  <c r="Y679" i="14"/>
  <c r="Y696" i="14"/>
  <c r="AD236" i="14"/>
  <c r="AD378" i="14"/>
  <c r="C377" i="14"/>
  <c r="AD241" i="14"/>
  <c r="O407" i="14"/>
  <c r="O409" i="14"/>
  <c r="AD63" i="9"/>
  <c r="AC243" i="14"/>
  <c r="AD97" i="9"/>
  <c r="AC727" i="14"/>
  <c r="AD234" i="14"/>
  <c r="C460" i="14"/>
  <c r="C461" i="14"/>
  <c r="L731" i="14"/>
  <c r="L733" i="14"/>
  <c r="L728" i="14"/>
  <c r="L729" i="14"/>
  <c r="G747" i="14"/>
  <c r="G768" i="14"/>
  <c r="AB302" i="14"/>
  <c r="AB303" i="14"/>
  <c r="AB317" i="14"/>
  <c r="AB326" i="14"/>
  <c r="AB682" i="14"/>
  <c r="AB684" i="14"/>
  <c r="AD693" i="14"/>
  <c r="M720" i="14"/>
  <c r="N718" i="14"/>
  <c r="N719" i="14"/>
  <c r="M721" i="14"/>
  <c r="AA259" i="14"/>
  <c r="AC228" i="20"/>
  <c r="AC265" i="20"/>
  <c r="AC267" i="20"/>
  <c r="AC265" i="21"/>
  <c r="AC267" i="21"/>
  <c r="AC228" i="21"/>
  <c r="Z698" i="21"/>
  <c r="Z709" i="21"/>
  <c r="AD671" i="21"/>
  <c r="AD671" i="20"/>
  <c r="AD670" i="21"/>
  <c r="AD670" i="20"/>
  <c r="AB259" i="21"/>
  <c r="AB263" i="21"/>
  <c r="AB283" i="21"/>
  <c r="AB315" i="21"/>
  <c r="AC257" i="21"/>
  <c r="AC273" i="21"/>
  <c r="AC275" i="21"/>
  <c r="AC302" i="21"/>
  <c r="AC303" i="21"/>
  <c r="AC317" i="21"/>
  <c r="AC326" i="21"/>
  <c r="AC682" i="21"/>
  <c r="AC684" i="21"/>
  <c r="AD673" i="21"/>
  <c r="AD673" i="20"/>
  <c r="AD673" i="14"/>
  <c r="AD217" i="21"/>
  <c r="AD216" i="21"/>
  <c r="AD219" i="21"/>
  <c r="AD220" i="21"/>
  <c r="AD221" i="21"/>
  <c r="AD226" i="21"/>
  <c r="AD265" i="21"/>
  <c r="AD267" i="21"/>
  <c r="AD764" i="21"/>
  <c r="AD741" i="21"/>
  <c r="AD463" i="21"/>
  <c r="AD596" i="21"/>
  <c r="AD657" i="21"/>
  <c r="AD605" i="21"/>
  <c r="AD426" i="21"/>
  <c r="AD332" i="21"/>
  <c r="AD294" i="21"/>
  <c r="AD512" i="21"/>
  <c r="AD206" i="21"/>
  <c r="AD94" i="21"/>
  <c r="AD113" i="21"/>
  <c r="AD596" i="20"/>
  <c r="AD187" i="21"/>
  <c r="AD657" i="20"/>
  <c r="AD332" i="20"/>
  <c r="AD149" i="21"/>
  <c r="AD512" i="20"/>
  <c r="AD463" i="20"/>
  <c r="AD764" i="20"/>
  <c r="AD605" i="20"/>
  <c r="AD206" i="20"/>
  <c r="AD741" i="20"/>
  <c r="AD426" i="20"/>
  <c r="AD294" i="20"/>
  <c r="AD187" i="20"/>
  <c r="AD113" i="20"/>
  <c r="AD149" i="20"/>
  <c r="AD94" i="20"/>
  <c r="Y709" i="20"/>
  <c r="AD216" i="20"/>
  <c r="AD238" i="21"/>
  <c r="AD238" i="20"/>
  <c r="AD238" i="14"/>
  <c r="AC219" i="14"/>
  <c r="AC220" i="14"/>
  <c r="AC221" i="14"/>
  <c r="AC226" i="14"/>
  <c r="AD726" i="21"/>
  <c r="AD726" i="20"/>
  <c r="AD254" i="21"/>
  <c r="AD254" i="20"/>
  <c r="AD254" i="14"/>
  <c r="AD218" i="21"/>
  <c r="AD218" i="20"/>
  <c r="AD289" i="21"/>
  <c r="AD290" i="21"/>
  <c r="AD292" i="21"/>
  <c r="AD289" i="20"/>
  <c r="AD290" i="20"/>
  <c r="AD292" i="20"/>
  <c r="AD667" i="20"/>
  <c r="AD667" i="21"/>
  <c r="AD674" i="21"/>
  <c r="AD674" i="20"/>
  <c r="P720" i="20"/>
  <c r="Q718" i="20"/>
  <c r="AD688" i="21"/>
  <c r="AD688" i="20"/>
  <c r="AD688" i="14"/>
  <c r="AC678" i="20"/>
  <c r="AD675" i="21"/>
  <c r="AD675" i="20"/>
  <c r="AD675" i="14"/>
  <c r="AD668" i="21"/>
  <c r="AD668" i="20"/>
  <c r="AD678" i="20"/>
  <c r="AC678" i="21"/>
  <c r="AD245" i="21"/>
  <c r="AD246" i="21"/>
  <c r="AD683" i="21"/>
  <c r="AD683" i="20"/>
  <c r="AD253" i="21"/>
  <c r="AD253" i="20"/>
  <c r="AD255" i="20"/>
  <c r="AD669" i="21"/>
  <c r="AD669" i="20"/>
  <c r="AA284" i="20"/>
  <c r="AA316" i="20"/>
  <c r="AD727" i="21"/>
  <c r="AD727" i="20"/>
  <c r="AD243" i="21"/>
  <c r="AD243" i="20"/>
  <c r="AD214" i="21"/>
  <c r="AD214" i="20"/>
  <c r="AD217" i="20"/>
  <c r="AD219" i="20"/>
  <c r="AD220" i="20"/>
  <c r="AD221" i="20"/>
  <c r="AD226" i="20"/>
  <c r="AD217" i="14"/>
  <c r="I771" i="21"/>
  <c r="AC259" i="21"/>
  <c r="Z746" i="21"/>
  <c r="Z767" i="21"/>
  <c r="Z651" i="21"/>
  <c r="Z653" i="21"/>
  <c r="AD622" i="21"/>
  <c r="C618" i="21"/>
  <c r="AD619" i="21"/>
  <c r="M770" i="21"/>
  <c r="M769" i="21"/>
  <c r="C392" i="21"/>
  <c r="C393" i="21"/>
  <c r="AD638" i="21"/>
  <c r="C638" i="21"/>
  <c r="C633" i="21"/>
  <c r="Q720" i="21"/>
  <c r="R718" i="21"/>
  <c r="R719" i="21"/>
  <c r="Q721" i="21"/>
  <c r="X310" i="21"/>
  <c r="Y321" i="21"/>
  <c r="AC324" i="21"/>
  <c r="AC687" i="21"/>
  <c r="AC689" i="21"/>
  <c r="AA277" i="21"/>
  <c r="AA280" i="21"/>
  <c r="AA282" i="21"/>
  <c r="AA313" i="21"/>
  <c r="AA323" i="21"/>
  <c r="AA663" i="21"/>
  <c r="AA665" i="21"/>
  <c r="AA679" i="21"/>
  <c r="AA696" i="21"/>
  <c r="L768" i="21"/>
  <c r="L747" i="21"/>
  <c r="AB643" i="21"/>
  <c r="AB329" i="21"/>
  <c r="AB645" i="21"/>
  <c r="P728" i="21"/>
  <c r="P729" i="21"/>
  <c r="P731" i="21"/>
  <c r="P733" i="21"/>
  <c r="AD414" i="21"/>
  <c r="C378" i="21"/>
  <c r="I757" i="21"/>
  <c r="I749" i="21"/>
  <c r="J749" i="21"/>
  <c r="K749" i="21"/>
  <c r="U388" i="21"/>
  <c r="U390" i="21"/>
  <c r="V388" i="21"/>
  <c r="V390" i="21"/>
  <c r="W388" i="21"/>
  <c r="W390" i="21"/>
  <c r="X388" i="21"/>
  <c r="X390" i="21"/>
  <c r="Y388" i="21"/>
  <c r="Y390" i="21"/>
  <c r="Z388" i="21"/>
  <c r="Z390" i="21"/>
  <c r="AA388" i="21"/>
  <c r="AA390" i="21"/>
  <c r="AB388" i="21"/>
  <c r="AB390" i="21"/>
  <c r="AC388" i="21"/>
  <c r="AC390" i="21"/>
  <c r="AD388" i="21"/>
  <c r="AD390" i="21"/>
  <c r="T407" i="21"/>
  <c r="T409" i="21"/>
  <c r="N770" i="21"/>
  <c r="N769" i="21"/>
  <c r="AA643" i="21"/>
  <c r="AA329" i="21"/>
  <c r="AA645" i="21"/>
  <c r="AC622" i="21"/>
  <c r="AC619" i="21"/>
  <c r="AC624" i="21"/>
  <c r="Y310" i="21"/>
  <c r="Z321" i="21"/>
  <c r="O735" i="21"/>
  <c r="O737" i="21"/>
  <c r="Q719" i="20"/>
  <c r="Q721" i="20"/>
  <c r="O735" i="20"/>
  <c r="O737" i="20"/>
  <c r="O739" i="20"/>
  <c r="O768" i="20"/>
  <c r="AB318" i="20"/>
  <c r="AB652" i="20"/>
  <c r="T388" i="20"/>
  <c r="T390" i="20"/>
  <c r="T392" i="20"/>
  <c r="N747" i="20"/>
  <c r="N748" i="20"/>
  <c r="N757" i="20"/>
  <c r="AA624" i="20"/>
  <c r="X706" i="20"/>
  <c r="X711" i="20"/>
  <c r="X328" i="20"/>
  <c r="X330" i="20"/>
  <c r="AD182" i="20"/>
  <c r="C171" i="20"/>
  <c r="AD248" i="20"/>
  <c r="AD269" i="20"/>
  <c r="AD271" i="20"/>
  <c r="W767" i="20"/>
  <c r="W746" i="20"/>
  <c r="W651" i="20"/>
  <c r="W653" i="20"/>
  <c r="T391" i="20"/>
  <c r="C391" i="20"/>
  <c r="AD632" i="20"/>
  <c r="C204" i="20"/>
  <c r="R407" i="20"/>
  <c r="R409" i="20"/>
  <c r="AC622" i="20"/>
  <c r="AC619" i="20"/>
  <c r="Z277" i="20"/>
  <c r="Z280" i="20"/>
  <c r="Z282" i="20"/>
  <c r="Z313" i="20"/>
  <c r="Z323" i="20"/>
  <c r="Z663" i="20"/>
  <c r="Z665" i="20"/>
  <c r="Z679" i="20"/>
  <c r="Z696" i="20"/>
  <c r="AC284" i="20"/>
  <c r="AC316" i="20"/>
  <c r="AC325" i="20"/>
  <c r="AC692" i="20"/>
  <c r="AC694" i="20"/>
  <c r="AB259" i="20"/>
  <c r="AB664" i="20"/>
  <c r="Y767" i="20"/>
  <c r="Y746" i="20"/>
  <c r="Y651" i="20"/>
  <c r="Y653" i="20"/>
  <c r="AB636" i="20"/>
  <c r="AB633" i="20"/>
  <c r="AB638" i="20"/>
  <c r="AB640" i="20"/>
  <c r="K747" i="20"/>
  <c r="K768" i="20"/>
  <c r="W711" i="20"/>
  <c r="W311" i="20"/>
  <c r="AC636" i="20"/>
  <c r="AC633" i="20"/>
  <c r="Z643" i="20"/>
  <c r="Z329" i="20"/>
  <c r="Z645" i="20"/>
  <c r="P728" i="20"/>
  <c r="P729" i="20"/>
  <c r="P731" i="20"/>
  <c r="P733" i="20"/>
  <c r="M770" i="20"/>
  <c r="M769" i="20"/>
  <c r="AA263" i="20"/>
  <c r="Y321" i="20"/>
  <c r="X310" i="20"/>
  <c r="AD257" i="20"/>
  <c r="AD273" i="20"/>
  <c r="AD275" i="20"/>
  <c r="AD618" i="20"/>
  <c r="C195" i="20"/>
  <c r="AC324" i="20"/>
  <c r="AC687" i="20"/>
  <c r="AC689" i="20"/>
  <c r="AD416" i="20"/>
  <c r="H758" i="20"/>
  <c r="I758" i="20"/>
  <c r="J758" i="20"/>
  <c r="AD183" i="20"/>
  <c r="C183" i="20"/>
  <c r="C172" i="20"/>
  <c r="AC259" i="20"/>
  <c r="C296" i="20"/>
  <c r="N770" i="20"/>
  <c r="N769" i="20"/>
  <c r="AC492" i="14"/>
  <c r="AC494" i="14"/>
  <c r="AC509" i="14"/>
  <c r="AB708" i="14"/>
  <c r="AA318" i="14"/>
  <c r="AA652" i="14"/>
  <c r="K768" i="14"/>
  <c r="K769" i="14"/>
  <c r="AD766" i="14"/>
  <c r="AD745" i="14"/>
  <c r="C745" i="14"/>
  <c r="C15" i="14"/>
  <c r="AC638" i="14"/>
  <c r="AC640" i="14"/>
  <c r="C633" i="14"/>
  <c r="AD540" i="14"/>
  <c r="AD541" i="14"/>
  <c r="C541" i="14"/>
  <c r="AD484" i="14"/>
  <c r="AD492" i="14"/>
  <c r="AD494" i="14"/>
  <c r="AD624" i="14"/>
  <c r="C619" i="14"/>
  <c r="AC269" i="14"/>
  <c r="AC271" i="14"/>
  <c r="AC283" i="14"/>
  <c r="AC315" i="14"/>
  <c r="AC324" i="14"/>
  <c r="AC687" i="14"/>
  <c r="AC689" i="14"/>
  <c r="AD245" i="14"/>
  <c r="AD246" i="14"/>
  <c r="AD248" i="14"/>
  <c r="L735" i="14"/>
  <c r="L737" i="14"/>
  <c r="L739" i="14"/>
  <c r="L768" i="14"/>
  <c r="AD726" i="14"/>
  <c r="AD218" i="14"/>
  <c r="AD332" i="14"/>
  <c r="AD94" i="14"/>
  <c r="AD657" i="14"/>
  <c r="AD206" i="14"/>
  <c r="AD113" i="14"/>
  <c r="AD463" i="14"/>
  <c r="AD596" i="14"/>
  <c r="AD187" i="14"/>
  <c r="AD149" i="14"/>
  <c r="AD512" i="14"/>
  <c r="AD426" i="14"/>
  <c r="AD294" i="14"/>
  <c r="AD741" i="14"/>
  <c r="AD764" i="14"/>
  <c r="AD605" i="14"/>
  <c r="AD674" i="14"/>
  <c r="N720" i="14"/>
  <c r="O718" i="14"/>
  <c r="N721" i="14"/>
  <c r="AD671" i="14"/>
  <c r="AD214" i="14"/>
  <c r="AD216" i="14"/>
  <c r="AD219" i="14"/>
  <c r="AD220" i="14"/>
  <c r="AD221" i="14"/>
  <c r="AD226" i="14"/>
  <c r="AD670" i="14"/>
  <c r="AD243" i="14"/>
  <c r="AC678" i="14"/>
  <c r="AB746" i="14"/>
  <c r="AB767" i="14"/>
  <c r="AD683" i="14"/>
  <c r="AD668" i="14"/>
  <c r="AD185" i="14"/>
  <c r="C185" i="14"/>
  <c r="AD667" i="14"/>
  <c r="AB324" i="14"/>
  <c r="AB687" i="14"/>
  <c r="AB689" i="14"/>
  <c r="T391" i="14"/>
  <c r="C391" i="14"/>
  <c r="T392" i="14"/>
  <c r="O410" i="14"/>
  <c r="O411" i="14"/>
  <c r="O414" i="14"/>
  <c r="O416" i="14"/>
  <c r="O710" i="14"/>
  <c r="O711" i="14"/>
  <c r="AD414" i="14"/>
  <c r="C378" i="14"/>
  <c r="AD289" i="14"/>
  <c r="AD290" i="14"/>
  <c r="AD292" i="14"/>
  <c r="AD253" i="14"/>
  <c r="AD255" i="14"/>
  <c r="W310" i="14"/>
  <c r="W311" i="14"/>
  <c r="X321" i="14"/>
  <c r="AD669" i="14"/>
  <c r="M728" i="14"/>
  <c r="M729" i="14"/>
  <c r="M731" i="14"/>
  <c r="M733" i="14"/>
  <c r="AC265" i="14"/>
  <c r="AC267" i="14"/>
  <c r="AC228" i="14"/>
  <c r="AC302" i="14"/>
  <c r="AC303" i="14"/>
  <c r="AC317" i="14"/>
  <c r="AC326" i="14"/>
  <c r="AC682" i="14"/>
  <c r="AC684" i="14"/>
  <c r="K770" i="14"/>
  <c r="Z277" i="14"/>
  <c r="Z280" i="14"/>
  <c r="Z282" i="14"/>
  <c r="Z313" i="14"/>
  <c r="Z323" i="14"/>
  <c r="Z663" i="14"/>
  <c r="Z665" i="14"/>
  <c r="Z679" i="14"/>
  <c r="Z696" i="14"/>
  <c r="AC273" i="14"/>
  <c r="AC275" i="14"/>
  <c r="AC257" i="14"/>
  <c r="W706" i="14"/>
  <c r="W711" i="14"/>
  <c r="W328" i="14"/>
  <c r="W330" i="14"/>
  <c r="AA263" i="14"/>
  <c r="AD727" i="14"/>
  <c r="G769" i="14"/>
  <c r="G770" i="14"/>
  <c r="G748" i="14"/>
  <c r="G749" i="14"/>
  <c r="H749" i="14"/>
  <c r="I749" i="14"/>
  <c r="F758" i="14"/>
  <c r="Y709" i="14"/>
  <c r="Y698" i="14"/>
  <c r="Y651" i="14"/>
  <c r="Y653" i="14"/>
  <c r="AB284" i="14"/>
  <c r="AB316" i="14"/>
  <c r="AB325" i="14"/>
  <c r="AB692" i="14"/>
  <c r="AB694" i="14"/>
  <c r="AB259" i="14"/>
  <c r="V311" i="14"/>
  <c r="Y298" i="14"/>
  <c r="Y306" i="14"/>
  <c r="Y297" i="14"/>
  <c r="J739" i="14"/>
  <c r="AD228" i="20"/>
  <c r="AD265" i="20"/>
  <c r="AD267" i="20"/>
  <c r="AD269" i="21"/>
  <c r="AD271" i="21"/>
  <c r="AD248" i="21"/>
  <c r="AD283" i="21"/>
  <c r="AD315" i="21"/>
  <c r="AD324" i="21"/>
  <c r="AD678" i="21"/>
  <c r="Q720" i="20"/>
  <c r="R718" i="20"/>
  <c r="AD302" i="20"/>
  <c r="AD303" i="20"/>
  <c r="AD269" i="14"/>
  <c r="AD271" i="14"/>
  <c r="AD228" i="21"/>
  <c r="AA325" i="20"/>
  <c r="AA692" i="20"/>
  <c r="AA694" i="20"/>
  <c r="AA318" i="20"/>
  <c r="AA652" i="20"/>
  <c r="AD302" i="21"/>
  <c r="AD303" i="21"/>
  <c r="AB318" i="21"/>
  <c r="AB652" i="21"/>
  <c r="AB324" i="21"/>
  <c r="AB687" i="21"/>
  <c r="AB689" i="21"/>
  <c r="L747" i="14"/>
  <c r="L748" i="14"/>
  <c r="L757" i="14"/>
  <c r="O747" i="20"/>
  <c r="O748" i="20"/>
  <c r="O757" i="20"/>
  <c r="AD255" i="21"/>
  <c r="AC284" i="21"/>
  <c r="AC316" i="21"/>
  <c r="N771" i="21"/>
  <c r="T410" i="21"/>
  <c r="C410" i="21"/>
  <c r="T411" i="21"/>
  <c r="Y706" i="21"/>
  <c r="Y711" i="21"/>
  <c r="Y328" i="21"/>
  <c r="Y330" i="21"/>
  <c r="Y311" i="21"/>
  <c r="X311" i="21"/>
  <c r="AD624" i="21"/>
  <c r="C619" i="21"/>
  <c r="AC640" i="21"/>
  <c r="AC664" i="21"/>
  <c r="AA708" i="21"/>
  <c r="AA649" i="21"/>
  <c r="Q728" i="21"/>
  <c r="Q729" i="21"/>
  <c r="Q731" i="21"/>
  <c r="Q733" i="21"/>
  <c r="AB708" i="21"/>
  <c r="AB649" i="21"/>
  <c r="R720" i="21"/>
  <c r="S718" i="21"/>
  <c r="S719" i="21"/>
  <c r="R721" i="21"/>
  <c r="C622" i="21"/>
  <c r="L748" i="21"/>
  <c r="L769" i="21"/>
  <c r="L770" i="21"/>
  <c r="AD687" i="21"/>
  <c r="O739" i="21"/>
  <c r="AD416" i="21"/>
  <c r="AC263" i="21"/>
  <c r="P735" i="21"/>
  <c r="P737" i="21"/>
  <c r="P739" i="21"/>
  <c r="AA298" i="21"/>
  <c r="AA306" i="21"/>
  <c r="AA297" i="21"/>
  <c r="I758" i="21"/>
  <c r="J758" i="21"/>
  <c r="K758" i="21"/>
  <c r="AB277" i="21"/>
  <c r="AB280" i="21"/>
  <c r="AB282" i="21"/>
  <c r="AB313" i="21"/>
  <c r="AB323" i="21"/>
  <c r="AB663" i="21"/>
  <c r="AB665" i="21"/>
  <c r="AB679" i="21"/>
  <c r="Z706" i="21"/>
  <c r="Z711" i="21"/>
  <c r="Z328" i="21"/>
  <c r="Z330" i="21"/>
  <c r="AA698" i="21"/>
  <c r="AA709" i="21"/>
  <c r="M771" i="21"/>
  <c r="N771" i="20"/>
  <c r="AC318" i="20"/>
  <c r="AC652" i="20"/>
  <c r="AD284" i="20"/>
  <c r="AD316" i="20"/>
  <c r="AD325" i="20"/>
  <c r="M771" i="20"/>
  <c r="AB329" i="20"/>
  <c r="AB643" i="20"/>
  <c r="AB645" i="20"/>
  <c r="AD259" i="20"/>
  <c r="Z298" i="20"/>
  <c r="Z306" i="20"/>
  <c r="Z297" i="20"/>
  <c r="Y706" i="20"/>
  <c r="Y711" i="20"/>
  <c r="Y328" i="20"/>
  <c r="Y330" i="20"/>
  <c r="AC638" i="20"/>
  <c r="AC624" i="20"/>
  <c r="AD283" i="20"/>
  <c r="AD315" i="20"/>
  <c r="AD710" i="20"/>
  <c r="AA277" i="20"/>
  <c r="AA280" i="20"/>
  <c r="AA282" i="20"/>
  <c r="AA313" i="20"/>
  <c r="AA323" i="20"/>
  <c r="AA663" i="20"/>
  <c r="R410" i="20"/>
  <c r="R411" i="20"/>
  <c r="R414" i="20"/>
  <c r="C182" i="20"/>
  <c r="AD185" i="20"/>
  <c r="C185" i="20"/>
  <c r="O770" i="20"/>
  <c r="O769" i="20"/>
  <c r="W765" i="20"/>
  <c r="W744" i="20"/>
  <c r="AD636" i="20"/>
  <c r="C636" i="20"/>
  <c r="C632" i="20"/>
  <c r="AD633" i="20"/>
  <c r="AC263" i="20"/>
  <c r="AB263" i="20"/>
  <c r="C392" i="20"/>
  <c r="C393" i="20"/>
  <c r="Q728" i="20"/>
  <c r="Q729" i="20"/>
  <c r="Q731" i="20"/>
  <c r="Q733" i="20"/>
  <c r="AD622" i="20"/>
  <c r="C622" i="20"/>
  <c r="C618" i="20"/>
  <c r="AD619" i="20"/>
  <c r="K770" i="20"/>
  <c r="K769" i="20"/>
  <c r="K771" i="20"/>
  <c r="U388" i="20"/>
  <c r="U390" i="20"/>
  <c r="V388" i="20"/>
  <c r="V390" i="20"/>
  <c r="W388" i="20"/>
  <c r="W390" i="20"/>
  <c r="X388" i="20"/>
  <c r="X390" i="20"/>
  <c r="Y388" i="20"/>
  <c r="Y390" i="20"/>
  <c r="Z388" i="20"/>
  <c r="Z390" i="20"/>
  <c r="AA388" i="20"/>
  <c r="AA390" i="20"/>
  <c r="AB388" i="20"/>
  <c r="AB390" i="20"/>
  <c r="AC388" i="20"/>
  <c r="AC390" i="20"/>
  <c r="AD388" i="20"/>
  <c r="AD390" i="20"/>
  <c r="AA664" i="20"/>
  <c r="AA640" i="20"/>
  <c r="Z708" i="20"/>
  <c r="Z649" i="20"/>
  <c r="P735" i="20"/>
  <c r="P737" i="20"/>
  <c r="P739" i="20"/>
  <c r="K748" i="20"/>
  <c r="Z709" i="20"/>
  <c r="Z698" i="20"/>
  <c r="X311" i="20"/>
  <c r="C638" i="14"/>
  <c r="C494" i="14"/>
  <c r="AD509" i="14"/>
  <c r="AD664" i="14"/>
  <c r="C664" i="14"/>
  <c r="AD640" i="14"/>
  <c r="C624" i="14"/>
  <c r="AC329" i="14"/>
  <c r="AC643" i="14"/>
  <c r="AC645" i="14"/>
  <c r="O719" i="14"/>
  <c r="O720" i="14"/>
  <c r="P718" i="14"/>
  <c r="AC284" i="14"/>
  <c r="AC316" i="14"/>
  <c r="K771" i="14"/>
  <c r="AB318" i="14"/>
  <c r="AB652" i="14"/>
  <c r="AD257" i="14"/>
  <c r="AD273" i="14"/>
  <c r="AD275" i="14"/>
  <c r="AD416" i="14"/>
  <c r="AC259" i="14"/>
  <c r="G757" i="14"/>
  <c r="G758" i="14"/>
  <c r="H758" i="14"/>
  <c r="I758" i="14"/>
  <c r="AA277" i="14"/>
  <c r="AA280" i="14"/>
  <c r="AA282" i="14"/>
  <c r="AA313" i="14"/>
  <c r="AA323" i="14"/>
  <c r="AA663" i="14"/>
  <c r="AA665" i="14"/>
  <c r="AA679" i="14"/>
  <c r="AA696" i="14"/>
  <c r="Y321" i="14"/>
  <c r="X310" i="14"/>
  <c r="C392" i="14"/>
  <c r="C393" i="14"/>
  <c r="V744" i="14"/>
  <c r="V765" i="14"/>
  <c r="U388" i="14"/>
  <c r="U390" i="14"/>
  <c r="V388" i="14"/>
  <c r="V390" i="14"/>
  <c r="W388" i="14"/>
  <c r="W390" i="14"/>
  <c r="X388" i="14"/>
  <c r="X390" i="14"/>
  <c r="Y388" i="14"/>
  <c r="Y390" i="14"/>
  <c r="Z388" i="14"/>
  <c r="Z390" i="14"/>
  <c r="AA388" i="14"/>
  <c r="AA390" i="14"/>
  <c r="AB388" i="14"/>
  <c r="AB390" i="14"/>
  <c r="AC388" i="14"/>
  <c r="AC390" i="14"/>
  <c r="AD388" i="14"/>
  <c r="AD390" i="14"/>
  <c r="J747" i="14"/>
  <c r="J768" i="14"/>
  <c r="AB263" i="14"/>
  <c r="M735" i="14"/>
  <c r="M737" i="14"/>
  <c r="P407" i="14"/>
  <c r="P409" i="14"/>
  <c r="X706" i="14"/>
  <c r="X711" i="14"/>
  <c r="X328" i="14"/>
  <c r="X330" i="14"/>
  <c r="C509" i="14"/>
  <c r="C510" i="14"/>
  <c r="AD645" i="14"/>
  <c r="AD302" i="14"/>
  <c r="AD303" i="14"/>
  <c r="AD283" i="14"/>
  <c r="AD315" i="14"/>
  <c r="L770" i="14"/>
  <c r="L769" i="14"/>
  <c r="AD678" i="14"/>
  <c r="N728" i="14"/>
  <c r="N729" i="14"/>
  <c r="N731" i="14"/>
  <c r="N733" i="14"/>
  <c r="AD228" i="14"/>
  <c r="AD265" i="14"/>
  <c r="AD267" i="14"/>
  <c r="W744" i="14"/>
  <c r="W765" i="14"/>
  <c r="G771" i="14"/>
  <c r="Z709" i="14"/>
  <c r="Z698" i="14"/>
  <c r="Z651" i="14"/>
  <c r="Z653" i="14"/>
  <c r="Z298" i="14"/>
  <c r="Z306" i="14"/>
  <c r="Z297" i="14"/>
  <c r="AD257" i="21"/>
  <c r="AD273" i="21"/>
  <c r="AD275" i="21"/>
  <c r="AD317" i="20"/>
  <c r="C303" i="20"/>
  <c r="AC325" i="21"/>
  <c r="AC692" i="21"/>
  <c r="AC694" i="21"/>
  <c r="AC318" i="21"/>
  <c r="AC652" i="21"/>
  <c r="AD317" i="21"/>
  <c r="C303" i="21"/>
  <c r="AB696" i="21"/>
  <c r="AB709" i="21"/>
  <c r="C324" i="21"/>
  <c r="C315" i="21"/>
  <c r="Q735" i="21"/>
  <c r="Q737" i="21"/>
  <c r="Q739" i="21"/>
  <c r="Q747" i="21"/>
  <c r="Q748" i="21"/>
  <c r="Q757" i="21"/>
  <c r="C316" i="20"/>
  <c r="AC277" i="21"/>
  <c r="AC280" i="21"/>
  <c r="AC282" i="21"/>
  <c r="AC313" i="21"/>
  <c r="AC323" i="21"/>
  <c r="AC663" i="21"/>
  <c r="AC665" i="21"/>
  <c r="AC679" i="21"/>
  <c r="AC696" i="21"/>
  <c r="L757" i="21"/>
  <c r="AB298" i="21"/>
  <c r="AB306" i="21"/>
  <c r="AB297" i="21"/>
  <c r="AD710" i="21"/>
  <c r="R728" i="21"/>
  <c r="R729" i="21"/>
  <c r="R731" i="21"/>
  <c r="R733" i="21"/>
  <c r="AD640" i="21"/>
  <c r="AD664" i="21"/>
  <c r="C664" i="21"/>
  <c r="C624" i="21"/>
  <c r="AC643" i="21"/>
  <c r="AC329" i="21"/>
  <c r="AC645" i="21"/>
  <c r="S721" i="21"/>
  <c r="S720" i="21"/>
  <c r="T718" i="21"/>
  <c r="X744" i="21"/>
  <c r="X765" i="21"/>
  <c r="O768" i="21"/>
  <c r="O747" i="21"/>
  <c r="AB767" i="21"/>
  <c r="AB746" i="21"/>
  <c r="Y765" i="21"/>
  <c r="Y744" i="21"/>
  <c r="C411" i="21"/>
  <c r="C412" i="21"/>
  <c r="T414" i="21"/>
  <c r="AD689" i="21"/>
  <c r="C689" i="21"/>
  <c r="C687" i="21"/>
  <c r="L749" i="21"/>
  <c r="M749" i="21"/>
  <c r="N749" i="21"/>
  <c r="AA746" i="21"/>
  <c r="AA767" i="21"/>
  <c r="AA651" i="21"/>
  <c r="AA653" i="21"/>
  <c r="U407" i="21"/>
  <c r="U409" i="21"/>
  <c r="V407" i="21"/>
  <c r="V409" i="21"/>
  <c r="W407" i="21"/>
  <c r="W409" i="21"/>
  <c r="X407" i="21"/>
  <c r="X409" i="21"/>
  <c r="Y407" i="21"/>
  <c r="Y409" i="21"/>
  <c r="Z407" i="21"/>
  <c r="Z409" i="21"/>
  <c r="AA407" i="21"/>
  <c r="AA409" i="21"/>
  <c r="AB407" i="21"/>
  <c r="AB409" i="21"/>
  <c r="AC407" i="21"/>
  <c r="AC409" i="21"/>
  <c r="AD407" i="21"/>
  <c r="AD409" i="21"/>
  <c r="P747" i="21"/>
  <c r="P748" i="21"/>
  <c r="P757" i="21"/>
  <c r="P768" i="21"/>
  <c r="Z310" i="21"/>
  <c r="AA321" i="21"/>
  <c r="L771" i="21"/>
  <c r="AA665" i="20"/>
  <c r="AA679" i="20"/>
  <c r="AA696" i="20"/>
  <c r="AA709" i="20"/>
  <c r="O771" i="20"/>
  <c r="AD624" i="20"/>
  <c r="C619" i="20"/>
  <c r="AC277" i="20"/>
  <c r="AC280" i="20"/>
  <c r="AC282" i="20"/>
  <c r="AC313" i="20"/>
  <c r="AC323" i="20"/>
  <c r="AC663" i="20"/>
  <c r="AC665" i="20"/>
  <c r="AC679" i="20"/>
  <c r="AC696" i="20"/>
  <c r="R416" i="20"/>
  <c r="K757" i="20"/>
  <c r="K749" i="20"/>
  <c r="L749" i="20"/>
  <c r="M749" i="20"/>
  <c r="N749" i="20"/>
  <c r="O749" i="20"/>
  <c r="AD638" i="20"/>
  <c r="C638" i="20"/>
  <c r="C633" i="20"/>
  <c r="S407" i="20"/>
  <c r="S409" i="20"/>
  <c r="Z321" i="20"/>
  <c r="Y310" i="20"/>
  <c r="AB277" i="20"/>
  <c r="AB280" i="20"/>
  <c r="AB282" i="20"/>
  <c r="AB313" i="20"/>
  <c r="AB323" i="20"/>
  <c r="AB663" i="20"/>
  <c r="AB665" i="20"/>
  <c r="AB679" i="20"/>
  <c r="AB696" i="20"/>
  <c r="AD692" i="20"/>
  <c r="C325" i="20"/>
  <c r="AD263" i="20"/>
  <c r="Z746" i="20"/>
  <c r="Z767" i="20"/>
  <c r="Z651" i="20"/>
  <c r="Z653" i="20"/>
  <c r="AA298" i="20"/>
  <c r="AA306" i="20"/>
  <c r="AA297" i="20"/>
  <c r="Q735" i="20"/>
  <c r="Q737" i="20"/>
  <c r="Q739" i="20"/>
  <c r="X765" i="20"/>
  <c r="X744" i="20"/>
  <c r="AA643" i="20"/>
  <c r="AA329" i="20"/>
  <c r="AA645" i="20"/>
  <c r="AB708" i="20"/>
  <c r="AB649" i="20"/>
  <c r="AD318" i="20"/>
  <c r="AD324" i="20"/>
  <c r="C315" i="20"/>
  <c r="P747" i="20"/>
  <c r="P768" i="20"/>
  <c r="AC664" i="20"/>
  <c r="AC640" i="20"/>
  <c r="O721" i="14"/>
  <c r="AC708" i="14"/>
  <c r="AC649" i="14"/>
  <c r="AD329" i="14"/>
  <c r="C329" i="14"/>
  <c r="AD643" i="14"/>
  <c r="C643" i="14"/>
  <c r="C640" i="14"/>
  <c r="L771" i="14"/>
  <c r="AC325" i="14"/>
  <c r="AC692" i="14"/>
  <c r="AC694" i="14"/>
  <c r="AC318" i="14"/>
  <c r="AC652" i="14"/>
  <c r="AB277" i="14"/>
  <c r="AB280" i="14"/>
  <c r="AB282" i="14"/>
  <c r="AB313" i="14"/>
  <c r="AB323" i="14"/>
  <c r="AB663" i="14"/>
  <c r="AB665" i="14"/>
  <c r="AB679" i="14"/>
  <c r="AB696" i="14"/>
  <c r="J769" i="14"/>
  <c r="J770" i="14"/>
  <c r="J748" i="14"/>
  <c r="J749" i="14"/>
  <c r="K749" i="14"/>
  <c r="L749" i="14"/>
  <c r="AA709" i="14"/>
  <c r="AA698" i="14"/>
  <c r="AA651" i="14"/>
  <c r="AA653" i="14"/>
  <c r="AD710" i="14"/>
  <c r="AA298" i="14"/>
  <c r="AA306" i="14"/>
  <c r="AA297" i="14"/>
  <c r="AD259" i="14"/>
  <c r="AD649" i="14"/>
  <c r="AD708" i="14"/>
  <c r="C708" i="14"/>
  <c r="C645" i="14"/>
  <c r="C646" i="14"/>
  <c r="Y310" i="14"/>
  <c r="Z321" i="14"/>
  <c r="Y706" i="14"/>
  <c r="Y711" i="14"/>
  <c r="Y328" i="14"/>
  <c r="Y330" i="14"/>
  <c r="N735" i="14"/>
  <c r="N737" i="14"/>
  <c r="N739" i="14"/>
  <c r="O731" i="14"/>
  <c r="O733" i="14"/>
  <c r="O728" i="14"/>
  <c r="O729" i="14"/>
  <c r="AD284" i="14"/>
  <c r="AD316" i="14"/>
  <c r="AD317" i="14"/>
  <c r="C303" i="14"/>
  <c r="M739" i="14"/>
  <c r="P410" i="14"/>
  <c r="P411" i="14"/>
  <c r="P414" i="14"/>
  <c r="AD324" i="14"/>
  <c r="C315" i="14"/>
  <c r="X311" i="14"/>
  <c r="AC263" i="14"/>
  <c r="AD326" i="21"/>
  <c r="C317" i="21"/>
  <c r="AB698" i="21"/>
  <c r="AB651" i="21"/>
  <c r="AB653" i="21"/>
  <c r="C317" i="20"/>
  <c r="AD326" i="20"/>
  <c r="AD284" i="21"/>
  <c r="AD316" i="21"/>
  <c r="AD259" i="21"/>
  <c r="AD263" i="21"/>
  <c r="AD277" i="21"/>
  <c r="AD280" i="21"/>
  <c r="Q768" i="21"/>
  <c r="Q770" i="21"/>
  <c r="AA698" i="20"/>
  <c r="S728" i="21"/>
  <c r="S729" i="21"/>
  <c r="S731" i="21"/>
  <c r="S733" i="21"/>
  <c r="AB321" i="21"/>
  <c r="AA310" i="21"/>
  <c r="O748" i="21"/>
  <c r="O749" i="21"/>
  <c r="P749" i="21"/>
  <c r="Q749" i="21"/>
  <c r="AC708" i="21"/>
  <c r="AC649" i="21"/>
  <c r="AA311" i="21"/>
  <c r="Z311" i="21"/>
  <c r="O770" i="21"/>
  <c r="O769" i="21"/>
  <c r="O771" i="21"/>
  <c r="AD643" i="21"/>
  <c r="C643" i="21"/>
  <c r="AD329" i="21"/>
  <c r="C329" i="21"/>
  <c r="C640" i="21"/>
  <c r="AD645" i="21"/>
  <c r="AA706" i="21"/>
  <c r="AA711" i="21"/>
  <c r="AA328" i="21"/>
  <c r="AA330" i="21"/>
  <c r="AC698" i="21"/>
  <c r="AC709" i="21"/>
  <c r="L758" i="21"/>
  <c r="M758" i="21"/>
  <c r="N758" i="21"/>
  <c r="P770" i="21"/>
  <c r="P769" i="21"/>
  <c r="T416" i="21"/>
  <c r="C414" i="21"/>
  <c r="R735" i="21"/>
  <c r="R737" i="21"/>
  <c r="R739" i="21"/>
  <c r="AC297" i="21"/>
  <c r="AC298" i="21"/>
  <c r="AC306" i="21"/>
  <c r="P748" i="20"/>
  <c r="AD687" i="20"/>
  <c r="C324" i="20"/>
  <c r="K758" i="20"/>
  <c r="L758" i="20"/>
  <c r="M758" i="20"/>
  <c r="N758" i="20"/>
  <c r="O758" i="20"/>
  <c r="R710" i="20"/>
  <c r="AD652" i="20"/>
  <c r="C652" i="20"/>
  <c r="C318" i="20"/>
  <c r="AB746" i="20"/>
  <c r="AB767" i="20"/>
  <c r="AB698" i="20"/>
  <c r="AB651" i="20"/>
  <c r="AB653" i="20"/>
  <c r="AB297" i="20"/>
  <c r="AB298" i="20"/>
  <c r="AB306" i="20"/>
  <c r="AC643" i="20"/>
  <c r="AC329" i="20"/>
  <c r="AC645" i="20"/>
  <c r="S410" i="20"/>
  <c r="S411" i="20"/>
  <c r="S414" i="20"/>
  <c r="AB709" i="20"/>
  <c r="AA649" i="20"/>
  <c r="AA708" i="20"/>
  <c r="AD277" i="20"/>
  <c r="AD280" i="20"/>
  <c r="AD282" i="20"/>
  <c r="AD313" i="20"/>
  <c r="AD664" i="20"/>
  <c r="C664" i="20"/>
  <c r="AD640" i="20"/>
  <c r="C624" i="20"/>
  <c r="Q768" i="20"/>
  <c r="Q747" i="20"/>
  <c r="Q748" i="20"/>
  <c r="Q757" i="20"/>
  <c r="AA321" i="20"/>
  <c r="Z310" i="20"/>
  <c r="Z311" i="20"/>
  <c r="Y311" i="20"/>
  <c r="AD694" i="20"/>
  <c r="C694" i="20"/>
  <c r="C692" i="20"/>
  <c r="AC709" i="20"/>
  <c r="AC698" i="20"/>
  <c r="AC298" i="20"/>
  <c r="AC306" i="20"/>
  <c r="AC297" i="20"/>
  <c r="Z706" i="20"/>
  <c r="Z711" i="20"/>
  <c r="Z328" i="20"/>
  <c r="Z330" i="20"/>
  <c r="P769" i="20"/>
  <c r="P770" i="20"/>
  <c r="AC746" i="14"/>
  <c r="AC767" i="14"/>
  <c r="Z706" i="14"/>
  <c r="Z711" i="14"/>
  <c r="Z328" i="14"/>
  <c r="Z330" i="14"/>
  <c r="M747" i="14"/>
  <c r="M768" i="14"/>
  <c r="AD687" i="14"/>
  <c r="C324" i="14"/>
  <c r="O735" i="14"/>
  <c r="O737" i="14"/>
  <c r="O739" i="14"/>
  <c r="AD263" i="14"/>
  <c r="N747" i="14"/>
  <c r="N748" i="14"/>
  <c r="N757" i="14"/>
  <c r="N768" i="14"/>
  <c r="AD746" i="14"/>
  <c r="AD767" i="14"/>
  <c r="C767" i="14"/>
  <c r="C649" i="14"/>
  <c r="AD326" i="14"/>
  <c r="C317" i="14"/>
  <c r="Q407" i="14"/>
  <c r="Q409" i="14"/>
  <c r="AB709" i="14"/>
  <c r="AB698" i="14"/>
  <c r="AB651" i="14"/>
  <c r="AB653" i="14"/>
  <c r="AD318" i="14"/>
  <c r="Z310" i="14"/>
  <c r="AA321" i="14"/>
  <c r="AB298" i="14"/>
  <c r="AB306" i="14"/>
  <c r="AB297" i="14"/>
  <c r="X744" i="14"/>
  <c r="X765" i="14"/>
  <c r="Y311" i="14"/>
  <c r="J771" i="14"/>
  <c r="AC277" i="14"/>
  <c r="AC280" i="14"/>
  <c r="AC282" i="14"/>
  <c r="AC313" i="14"/>
  <c r="AC323" i="14"/>
  <c r="AC663" i="14"/>
  <c r="AC665" i="14"/>
  <c r="AC679" i="14"/>
  <c r="AC696" i="14"/>
  <c r="AD325" i="14"/>
  <c r="C316" i="14"/>
  <c r="J757" i="14"/>
  <c r="P416" i="14"/>
  <c r="AD682" i="20"/>
  <c r="C326" i="20"/>
  <c r="Q769" i="21"/>
  <c r="Q771" i="21"/>
  <c r="AD282" i="21"/>
  <c r="AD313" i="21"/>
  <c r="AD323" i="21"/>
  <c r="AD318" i="21"/>
  <c r="AD325" i="21"/>
  <c r="C316" i="21"/>
  <c r="P771" i="21"/>
  <c r="AD682" i="21"/>
  <c r="C326" i="21"/>
  <c r="Z765" i="21"/>
  <c r="Z744" i="21"/>
  <c r="AC321" i="21"/>
  <c r="AB310" i="21"/>
  <c r="AA765" i="21"/>
  <c r="AA744" i="21"/>
  <c r="AB311" i="21"/>
  <c r="AB706" i="21"/>
  <c r="AB711" i="21"/>
  <c r="AB328" i="21"/>
  <c r="AB330" i="21"/>
  <c r="S735" i="21"/>
  <c r="S737" i="21"/>
  <c r="S739" i="21"/>
  <c r="AD708" i="21"/>
  <c r="C708" i="21"/>
  <c r="AD649" i="21"/>
  <c r="C645" i="21"/>
  <c r="C646" i="21"/>
  <c r="AC767" i="21"/>
  <c r="AC651" i="21"/>
  <c r="AC653" i="21"/>
  <c r="AC746" i="21"/>
  <c r="O757" i="21"/>
  <c r="O758" i="21"/>
  <c r="P758" i="21"/>
  <c r="Q758" i="21"/>
  <c r="R747" i="21"/>
  <c r="R748" i="21"/>
  <c r="R757" i="21"/>
  <c r="R768" i="21"/>
  <c r="AD298" i="21"/>
  <c r="AD297" i="21"/>
  <c r="T710" i="21"/>
  <c r="C416" i="21"/>
  <c r="C423" i="21"/>
  <c r="T407" i="20"/>
  <c r="T409" i="20"/>
  <c r="AD298" i="20"/>
  <c r="AD297" i="20"/>
  <c r="R711" i="20"/>
  <c r="R719" i="20"/>
  <c r="AD643" i="20"/>
  <c r="C643" i="20"/>
  <c r="AD329" i="20"/>
  <c r="C329" i="20"/>
  <c r="C640" i="20"/>
  <c r="AD645" i="20"/>
  <c r="AD689" i="20"/>
  <c r="C689" i="20"/>
  <c r="C687" i="20"/>
  <c r="Q769" i="20"/>
  <c r="Q770" i="20"/>
  <c r="AB310" i="20"/>
  <c r="AC321" i="20"/>
  <c r="AC708" i="20"/>
  <c r="AC649" i="20"/>
  <c r="Y744" i="20"/>
  <c r="Y765" i="20"/>
  <c r="AA746" i="20"/>
  <c r="AA651" i="20"/>
  <c r="AA653" i="20"/>
  <c r="AA767" i="20"/>
  <c r="S416" i="20"/>
  <c r="AD323" i="20"/>
  <c r="C313" i="20"/>
  <c r="AB321" i="20"/>
  <c r="AA310" i="20"/>
  <c r="P757" i="20"/>
  <c r="P758" i="20"/>
  <c r="Q758" i="20"/>
  <c r="Z765" i="20"/>
  <c r="Z744" i="20"/>
  <c r="P771" i="20"/>
  <c r="AA311" i="20"/>
  <c r="AA706" i="20"/>
  <c r="AA711" i="20"/>
  <c r="AA328" i="20"/>
  <c r="AA330" i="20"/>
  <c r="P749" i="20"/>
  <c r="Q749" i="20"/>
  <c r="C746" i="14"/>
  <c r="C16" i="14"/>
  <c r="AA310" i="14"/>
  <c r="AB321" i="14"/>
  <c r="AD682" i="14"/>
  <c r="C326" i="14"/>
  <c r="Q410" i="14"/>
  <c r="Q411" i="14"/>
  <c r="Q414" i="14"/>
  <c r="N769" i="14"/>
  <c r="N770" i="14"/>
  <c r="O747" i="14"/>
  <c r="O748" i="14"/>
  <c r="O757" i="14"/>
  <c r="O768" i="14"/>
  <c r="Y744" i="14"/>
  <c r="Y765" i="14"/>
  <c r="J758" i="14"/>
  <c r="K758" i="14"/>
  <c r="L758" i="14"/>
  <c r="AA706" i="14"/>
  <c r="AA711" i="14"/>
  <c r="AA328" i="14"/>
  <c r="AA330" i="14"/>
  <c r="AD277" i="14"/>
  <c r="AD280" i="14"/>
  <c r="AD282" i="14"/>
  <c r="AD313" i="14"/>
  <c r="P710" i="14"/>
  <c r="AD692" i="14"/>
  <c r="C325" i="14"/>
  <c r="AC709" i="14"/>
  <c r="AC698" i="14"/>
  <c r="AC651" i="14"/>
  <c r="AC653" i="14"/>
  <c r="AC298" i="14"/>
  <c r="AC306" i="14"/>
  <c r="AC297" i="14"/>
  <c r="AD689" i="14"/>
  <c r="C689" i="14"/>
  <c r="C687" i="14"/>
  <c r="Z311" i="14"/>
  <c r="M748" i="14"/>
  <c r="M749" i="14"/>
  <c r="N749" i="14"/>
  <c r="AD652" i="14"/>
  <c r="C652" i="14"/>
  <c r="C318" i="14"/>
  <c r="M769" i="14"/>
  <c r="M770" i="14"/>
  <c r="AD692" i="21"/>
  <c r="C325" i="21"/>
  <c r="AD652" i="21"/>
  <c r="C652" i="21"/>
  <c r="C318" i="21"/>
  <c r="AD684" i="21"/>
  <c r="C684" i="21"/>
  <c r="C682" i="21"/>
  <c r="C313" i="21"/>
  <c r="AB311" i="20"/>
  <c r="AB765" i="20"/>
  <c r="AD684" i="20"/>
  <c r="C684" i="20"/>
  <c r="C682" i="20"/>
  <c r="R758" i="21"/>
  <c r="S747" i="21"/>
  <c r="S748" i="21"/>
  <c r="S757" i="21"/>
  <c r="S758" i="21"/>
  <c r="R749" i="21"/>
  <c r="S768" i="21"/>
  <c r="AB765" i="21"/>
  <c r="AB744" i="21"/>
  <c r="T711" i="21"/>
  <c r="T719" i="21"/>
  <c r="C710" i="21"/>
  <c r="AD663" i="21"/>
  <c r="C323" i="21"/>
  <c r="AC706" i="21"/>
  <c r="AC711" i="21"/>
  <c r="AC328" i="21"/>
  <c r="AC330" i="21"/>
  <c r="AD306" i="21"/>
  <c r="C298" i="21"/>
  <c r="R770" i="21"/>
  <c r="R769" i="21"/>
  <c r="R771" i="21"/>
  <c r="AD767" i="21"/>
  <c r="C767" i="21"/>
  <c r="AD746" i="21"/>
  <c r="C746" i="21"/>
  <c r="C16" i="21"/>
  <c r="C649" i="21"/>
  <c r="Q771" i="20"/>
  <c r="AA744" i="20"/>
  <c r="AA765" i="20"/>
  <c r="S710" i="20"/>
  <c r="AD708" i="20"/>
  <c r="C708" i="20"/>
  <c r="AD649" i="20"/>
  <c r="C645" i="20"/>
  <c r="C646" i="20"/>
  <c r="AB706" i="20"/>
  <c r="AB711" i="20"/>
  <c r="AB328" i="20"/>
  <c r="AB330" i="20"/>
  <c r="AC767" i="20"/>
  <c r="AC746" i="20"/>
  <c r="AC651" i="20"/>
  <c r="AC653" i="20"/>
  <c r="AB744" i="20"/>
  <c r="R720" i="20"/>
  <c r="S718" i="20"/>
  <c r="R721" i="20"/>
  <c r="AC706" i="20"/>
  <c r="AC711" i="20"/>
  <c r="AC328" i="20"/>
  <c r="AC330" i="20"/>
  <c r="AD306" i="20"/>
  <c r="C298" i="20"/>
  <c r="AD663" i="20"/>
  <c r="C323" i="20"/>
  <c r="T410" i="20"/>
  <c r="C410" i="20"/>
  <c r="T411" i="20"/>
  <c r="O749" i="14"/>
  <c r="AD323" i="14"/>
  <c r="C313" i="14"/>
  <c r="M771" i="14"/>
  <c r="AD694" i="14"/>
  <c r="C694" i="14"/>
  <c r="C692" i="14"/>
  <c r="Q416" i="14"/>
  <c r="M757" i="14"/>
  <c r="O769" i="14"/>
  <c r="O770" i="14"/>
  <c r="R407" i="14"/>
  <c r="R409" i="14"/>
  <c r="AB706" i="14"/>
  <c r="AB711" i="14"/>
  <c r="AB328" i="14"/>
  <c r="AB330" i="14"/>
  <c r="Z744" i="14"/>
  <c r="Z765" i="14"/>
  <c r="P711" i="14"/>
  <c r="P719" i="14"/>
  <c r="AD684" i="14"/>
  <c r="C684" i="14"/>
  <c r="C682" i="14"/>
  <c r="AD298" i="14"/>
  <c r="AD297" i="14"/>
  <c r="AB310" i="14"/>
  <c r="AB311" i="14"/>
  <c r="AC321" i="14"/>
  <c r="N771" i="14"/>
  <c r="AA311" i="14"/>
  <c r="AD694" i="21"/>
  <c r="C694" i="21"/>
  <c r="C692" i="21"/>
  <c r="S749" i="21"/>
  <c r="T721" i="21"/>
  <c r="T720" i="21"/>
  <c r="U718" i="21"/>
  <c r="U719" i="21"/>
  <c r="AD321" i="21"/>
  <c r="AC310" i="21"/>
  <c r="C306" i="21"/>
  <c r="AD665" i="21"/>
  <c r="C663" i="21"/>
  <c r="S770" i="21"/>
  <c r="S769" i="21"/>
  <c r="U407" i="20"/>
  <c r="U409" i="20"/>
  <c r="V407" i="20"/>
  <c r="V409" i="20"/>
  <c r="W407" i="20"/>
  <c r="W409" i="20"/>
  <c r="X407" i="20"/>
  <c r="X409" i="20"/>
  <c r="Y407" i="20"/>
  <c r="Y409" i="20"/>
  <c r="Z407" i="20"/>
  <c r="Z409" i="20"/>
  <c r="AA407" i="20"/>
  <c r="AA409" i="20"/>
  <c r="AB407" i="20"/>
  <c r="AB409" i="20"/>
  <c r="AC407" i="20"/>
  <c r="AC409" i="20"/>
  <c r="AD407" i="20"/>
  <c r="AD409" i="20"/>
  <c r="AD746" i="20"/>
  <c r="C746" i="20"/>
  <c r="C16" i="20"/>
  <c r="AD767" i="20"/>
  <c r="C767" i="20"/>
  <c r="C649" i="20"/>
  <c r="AD665" i="20"/>
  <c r="C663" i="20"/>
  <c r="S711" i="20"/>
  <c r="S719" i="20"/>
  <c r="AC310" i="20"/>
  <c r="AD321" i="20"/>
  <c r="C306" i="20"/>
  <c r="R731" i="20"/>
  <c r="R733" i="20"/>
  <c r="R728" i="20"/>
  <c r="R729" i="20"/>
  <c r="C411" i="20"/>
  <c r="C412" i="20"/>
  <c r="T414" i="20"/>
  <c r="Q710" i="14"/>
  <c r="AC706" i="14"/>
  <c r="AC711" i="14"/>
  <c r="AC328" i="14"/>
  <c r="AC330" i="14"/>
  <c r="AD306" i="14"/>
  <c r="C298" i="14"/>
  <c r="O771" i="14"/>
  <c r="M758" i="14"/>
  <c r="N758" i="14"/>
  <c r="O758" i="14"/>
  <c r="P721" i="14"/>
  <c r="P720" i="14"/>
  <c r="Q718" i="14"/>
  <c r="AD663" i="14"/>
  <c r="C323" i="14"/>
  <c r="R410" i="14"/>
  <c r="R411" i="14"/>
  <c r="R414" i="14"/>
  <c r="AB744" i="14"/>
  <c r="AB765" i="14"/>
  <c r="AA744" i="14"/>
  <c r="AA765" i="14"/>
  <c r="S771" i="21"/>
  <c r="AD679" i="21"/>
  <c r="C665" i="21"/>
  <c r="AD311" i="21"/>
  <c r="AC311" i="21"/>
  <c r="AD706" i="21"/>
  <c r="AD328" i="21"/>
  <c r="C321" i="21"/>
  <c r="U721" i="21"/>
  <c r="U720" i="21"/>
  <c r="V718" i="21"/>
  <c r="V719" i="21"/>
  <c r="T728" i="21"/>
  <c r="T729" i="21"/>
  <c r="T731" i="21"/>
  <c r="T733" i="21"/>
  <c r="R735" i="20"/>
  <c r="R737" i="20"/>
  <c r="R739" i="20"/>
  <c r="R747" i="20"/>
  <c r="R748" i="20"/>
  <c r="S721" i="20"/>
  <c r="S720" i="20"/>
  <c r="T718" i="20"/>
  <c r="T416" i="20"/>
  <c r="C414" i="20"/>
  <c r="AD706" i="20"/>
  <c r="AD328" i="20"/>
  <c r="C321" i="20"/>
  <c r="AD679" i="20"/>
  <c r="C665" i="20"/>
  <c r="AD311" i="20"/>
  <c r="AC311" i="20"/>
  <c r="S407" i="14"/>
  <c r="S409" i="14"/>
  <c r="R416" i="14"/>
  <c r="AD665" i="14"/>
  <c r="C663" i="14"/>
  <c r="S410" i="14"/>
  <c r="S411" i="14"/>
  <c r="S414" i="14"/>
  <c r="S416" i="14"/>
  <c r="S710" i="14"/>
  <c r="S711" i="14"/>
  <c r="P728" i="14"/>
  <c r="P729" i="14"/>
  <c r="P731" i="14"/>
  <c r="P733" i="14"/>
  <c r="AD321" i="14"/>
  <c r="AC310" i="14"/>
  <c r="C306" i="14"/>
  <c r="Q711" i="14"/>
  <c r="Q719" i="14"/>
  <c r="R768" i="20"/>
  <c r="T735" i="21"/>
  <c r="T737" i="21"/>
  <c r="T739" i="21"/>
  <c r="V721" i="21"/>
  <c r="V720" i="21"/>
  <c r="W718" i="21"/>
  <c r="W719" i="21"/>
  <c r="U728" i="21"/>
  <c r="U729" i="21"/>
  <c r="U731" i="21"/>
  <c r="U733" i="21"/>
  <c r="AD330" i="21"/>
  <c r="C330" i="21"/>
  <c r="C328" i="21"/>
  <c r="C706" i="21"/>
  <c r="AC765" i="21"/>
  <c r="AC744" i="21"/>
  <c r="AD765" i="21"/>
  <c r="AD744" i="21"/>
  <c r="C311" i="21"/>
  <c r="AD696" i="21"/>
  <c r="C679" i="21"/>
  <c r="AD744" i="20"/>
  <c r="AD765" i="20"/>
  <c r="C311" i="20"/>
  <c r="T710" i="20"/>
  <c r="C416" i="20"/>
  <c r="C423" i="20"/>
  <c r="R769" i="20"/>
  <c r="R770" i="20"/>
  <c r="C706" i="20"/>
  <c r="AC744" i="20"/>
  <c r="AC765" i="20"/>
  <c r="AD696" i="20"/>
  <c r="C679" i="20"/>
  <c r="AD330" i="20"/>
  <c r="C330" i="20"/>
  <c r="C328" i="20"/>
  <c r="R757" i="20"/>
  <c r="R758" i="20"/>
  <c r="R749" i="20"/>
  <c r="S731" i="20"/>
  <c r="S733" i="20"/>
  <c r="S728" i="20"/>
  <c r="S729" i="20"/>
  <c r="S735" i="20"/>
  <c r="S737" i="20"/>
  <c r="S739" i="20"/>
  <c r="P735" i="14"/>
  <c r="P737" i="14"/>
  <c r="P739" i="14"/>
  <c r="R710" i="14"/>
  <c r="AD679" i="14"/>
  <c r="C665" i="14"/>
  <c r="AD706" i="14"/>
  <c r="AD328" i="14"/>
  <c r="C321" i="14"/>
  <c r="AD311" i="14"/>
  <c r="AC311" i="14"/>
  <c r="T407" i="14"/>
  <c r="T409" i="14"/>
  <c r="Q721" i="14"/>
  <c r="Q720" i="14"/>
  <c r="R718" i="14"/>
  <c r="U735" i="21"/>
  <c r="U737" i="21"/>
  <c r="U739" i="21"/>
  <c r="AD698" i="21"/>
  <c r="AD709" i="21"/>
  <c r="C696" i="21"/>
  <c r="W721" i="21"/>
  <c r="W720" i="21"/>
  <c r="X718" i="21"/>
  <c r="X719" i="21"/>
  <c r="V728" i="21"/>
  <c r="V729" i="21"/>
  <c r="V731" i="21"/>
  <c r="V733" i="21"/>
  <c r="C744" i="21"/>
  <c r="C14" i="21"/>
  <c r="T747" i="21"/>
  <c r="T748" i="21"/>
  <c r="T768" i="21"/>
  <c r="S768" i="20"/>
  <c r="S747" i="20"/>
  <c r="S748" i="20"/>
  <c r="S757" i="20"/>
  <c r="S758" i="20"/>
  <c r="AD709" i="20"/>
  <c r="AD698" i="20"/>
  <c r="C696" i="20"/>
  <c r="R771" i="20"/>
  <c r="T711" i="20"/>
  <c r="T719" i="20"/>
  <c r="C710" i="20"/>
  <c r="C744" i="20"/>
  <c r="C14" i="20"/>
  <c r="AD744" i="14"/>
  <c r="AD765" i="14"/>
  <c r="C311" i="14"/>
  <c r="C706" i="14"/>
  <c r="R711" i="14"/>
  <c r="R719" i="14"/>
  <c r="AD330" i="14"/>
  <c r="C330" i="14"/>
  <c r="C328" i="14"/>
  <c r="AC744" i="14"/>
  <c r="AC765" i="14"/>
  <c r="Q728" i="14"/>
  <c r="Q729" i="14"/>
  <c r="Q731" i="14"/>
  <c r="Q733" i="14"/>
  <c r="AD696" i="14"/>
  <c r="C679" i="14"/>
  <c r="T410" i="14"/>
  <c r="C410" i="14"/>
  <c r="T411" i="14"/>
  <c r="P747" i="14"/>
  <c r="P748" i="14"/>
  <c r="P768" i="14"/>
  <c r="W728" i="21"/>
  <c r="W729" i="21"/>
  <c r="W731" i="21"/>
  <c r="W733" i="21"/>
  <c r="X720" i="21"/>
  <c r="Y718" i="21"/>
  <c r="Y719" i="21"/>
  <c r="X721" i="21"/>
  <c r="C709" i="21"/>
  <c r="AD711" i="21"/>
  <c r="C698" i="21"/>
  <c r="AD651" i="21"/>
  <c r="T770" i="21"/>
  <c r="T769" i="21"/>
  <c r="U747" i="21"/>
  <c r="U748" i="21"/>
  <c r="U757" i="21"/>
  <c r="U768" i="21"/>
  <c r="T757" i="21"/>
  <c r="T758" i="21"/>
  <c r="T749" i="21"/>
  <c r="V735" i="21"/>
  <c r="V737" i="21"/>
  <c r="V739" i="21"/>
  <c r="C709" i="20"/>
  <c r="AD711" i="20"/>
  <c r="C698" i="20"/>
  <c r="AD651" i="20"/>
  <c r="S770" i="20"/>
  <c r="S769" i="20"/>
  <c r="S771" i="20"/>
  <c r="T721" i="20"/>
  <c r="T720" i="20"/>
  <c r="U718" i="20"/>
  <c r="U719" i="20"/>
  <c r="S749" i="20"/>
  <c r="P757" i="14"/>
  <c r="P758" i="14"/>
  <c r="P749" i="14"/>
  <c r="Q735" i="14"/>
  <c r="Q737" i="14"/>
  <c r="Q739" i="14"/>
  <c r="C744" i="14"/>
  <c r="C14" i="14"/>
  <c r="Q747" i="14"/>
  <c r="Q748" i="14"/>
  <c r="Q757" i="14"/>
  <c r="Q768" i="14"/>
  <c r="AD709" i="14"/>
  <c r="AD698" i="14"/>
  <c r="C696" i="14"/>
  <c r="R721" i="14"/>
  <c r="R720" i="14"/>
  <c r="S718" i="14"/>
  <c r="S719" i="14"/>
  <c r="P770" i="14"/>
  <c r="P769" i="14"/>
  <c r="C411" i="14"/>
  <c r="C412" i="14"/>
  <c r="T414" i="14"/>
  <c r="U407" i="14"/>
  <c r="U409" i="14"/>
  <c r="V407" i="14"/>
  <c r="V409" i="14"/>
  <c r="W407" i="14"/>
  <c r="W409" i="14"/>
  <c r="X407" i="14"/>
  <c r="X409" i="14"/>
  <c r="Y407" i="14"/>
  <c r="Y409" i="14"/>
  <c r="Z407" i="14"/>
  <c r="Z409" i="14"/>
  <c r="AA407" i="14"/>
  <c r="AA409" i="14"/>
  <c r="AB407" i="14"/>
  <c r="AB409" i="14"/>
  <c r="AC407" i="14"/>
  <c r="AC409" i="14"/>
  <c r="AD407" i="14"/>
  <c r="AD409" i="14"/>
  <c r="T771" i="21"/>
  <c r="U769" i="21"/>
  <c r="U770" i="21"/>
  <c r="AD653" i="21"/>
  <c r="C653" i="21"/>
  <c r="C655" i="21"/>
  <c r="C651" i="21"/>
  <c r="C711" i="21"/>
  <c r="X731" i="21"/>
  <c r="X733" i="21"/>
  <c r="X728" i="21"/>
  <c r="X729" i="21"/>
  <c r="V768" i="21"/>
  <c r="V747" i="21"/>
  <c r="V748" i="21"/>
  <c r="V757" i="21"/>
  <c r="Y720" i="21"/>
  <c r="Z718" i="21"/>
  <c r="Z719" i="21"/>
  <c r="Y721" i="21"/>
  <c r="U749" i="21"/>
  <c r="U758" i="21"/>
  <c r="W735" i="21"/>
  <c r="W737" i="21"/>
  <c r="W739" i="21"/>
  <c r="AD653" i="20"/>
  <c r="C653" i="20"/>
  <c r="C655" i="20"/>
  <c r="C651" i="20"/>
  <c r="C711" i="20"/>
  <c r="T731" i="20"/>
  <c r="T733" i="20"/>
  <c r="T728" i="20"/>
  <c r="T729" i="20"/>
  <c r="T735" i="20"/>
  <c r="T737" i="20"/>
  <c r="T739" i="20"/>
  <c r="U720" i="20"/>
  <c r="V718" i="20"/>
  <c r="V719" i="20"/>
  <c r="U721" i="20"/>
  <c r="Q758" i="14"/>
  <c r="P771" i="14"/>
  <c r="Q749" i="14"/>
  <c r="Q769" i="14"/>
  <c r="Q770" i="14"/>
  <c r="S721" i="14"/>
  <c r="S720" i="14"/>
  <c r="T718" i="14"/>
  <c r="C698" i="14"/>
  <c r="AD651" i="14"/>
  <c r="C709" i="14"/>
  <c r="AD711" i="14"/>
  <c r="R731" i="14"/>
  <c r="R733" i="14"/>
  <c r="R728" i="14"/>
  <c r="R729" i="14"/>
  <c r="R735" i="14"/>
  <c r="R737" i="14"/>
  <c r="R739" i="14"/>
  <c r="T416" i="14"/>
  <c r="C414" i="14"/>
  <c r="C12" i="21"/>
  <c r="C32" i="9"/>
  <c r="C12" i="20"/>
  <c r="C31" i="9"/>
  <c r="X735" i="21"/>
  <c r="X737" i="21"/>
  <c r="X739" i="21"/>
  <c r="X747" i="21"/>
  <c r="X748" i="21"/>
  <c r="X757" i="21"/>
  <c r="Y731" i="21"/>
  <c r="Y733" i="21"/>
  <c r="Y728" i="21"/>
  <c r="Y729" i="21"/>
  <c r="Y735" i="21"/>
  <c r="Y737" i="21"/>
  <c r="Y739" i="21"/>
  <c r="Z720" i="21"/>
  <c r="AA718" i="21"/>
  <c r="AA719" i="21"/>
  <c r="Z721" i="21"/>
  <c r="V770" i="21"/>
  <c r="V769" i="21"/>
  <c r="X768" i="21"/>
  <c r="W768" i="21"/>
  <c r="W747" i="21"/>
  <c r="W748" i="21"/>
  <c r="W757" i="21"/>
  <c r="V758" i="21"/>
  <c r="V749" i="21"/>
  <c r="U771" i="21"/>
  <c r="T768" i="20"/>
  <c r="T747" i="20"/>
  <c r="T748" i="20"/>
  <c r="U731" i="20"/>
  <c r="U733" i="20"/>
  <c r="U728" i="20"/>
  <c r="U729" i="20"/>
  <c r="U735" i="20"/>
  <c r="U737" i="20"/>
  <c r="U739" i="20"/>
  <c r="V720" i="20"/>
  <c r="W718" i="20"/>
  <c r="W719" i="20"/>
  <c r="V721" i="20"/>
  <c r="T710" i="14"/>
  <c r="C416" i="14"/>
  <c r="C423" i="14"/>
  <c r="S728" i="14"/>
  <c r="S729" i="14"/>
  <c r="S731" i="14"/>
  <c r="S733" i="14"/>
  <c r="R747" i="14"/>
  <c r="R748" i="14"/>
  <c r="R757" i="14"/>
  <c r="R758" i="14"/>
  <c r="R768" i="14"/>
  <c r="Q771" i="14"/>
  <c r="AD653" i="14"/>
  <c r="C653" i="14"/>
  <c r="C655" i="14"/>
  <c r="C12" i="14"/>
  <c r="C651" i="14"/>
  <c r="V771" i="21"/>
  <c r="W749" i="21"/>
  <c r="X749" i="21"/>
  <c r="W758" i="21"/>
  <c r="X758" i="21"/>
  <c r="W769" i="21"/>
  <c r="W770" i="21"/>
  <c r="X769" i="21"/>
  <c r="X770" i="21"/>
  <c r="Z731" i="21"/>
  <c r="Z733" i="21"/>
  <c r="Z728" i="21"/>
  <c r="Z729" i="21"/>
  <c r="Z735" i="21"/>
  <c r="Z737" i="21"/>
  <c r="Z739" i="21"/>
  <c r="AA720" i="21"/>
  <c r="AB718" i="21"/>
  <c r="AB719" i="21"/>
  <c r="AA721" i="21"/>
  <c r="Y768" i="21"/>
  <c r="Y747" i="21"/>
  <c r="Y748" i="21"/>
  <c r="Y757" i="21"/>
  <c r="W720" i="20"/>
  <c r="X718" i="20"/>
  <c r="X719" i="20"/>
  <c r="W721" i="20"/>
  <c r="V731" i="20"/>
  <c r="V733" i="20"/>
  <c r="V728" i="20"/>
  <c r="V729" i="20"/>
  <c r="V735" i="20"/>
  <c r="V737" i="20"/>
  <c r="V739" i="20"/>
  <c r="T757" i="20"/>
  <c r="T758" i="20"/>
  <c r="T749" i="20"/>
  <c r="U747" i="20"/>
  <c r="U748" i="20"/>
  <c r="U757" i="20"/>
  <c r="U768" i="20"/>
  <c r="T770" i="20"/>
  <c r="T769" i="20"/>
  <c r="R749" i="14"/>
  <c r="C30" i="9"/>
  <c r="S735" i="14"/>
  <c r="S737" i="14"/>
  <c r="S739" i="14"/>
  <c r="R770" i="14"/>
  <c r="R769" i="14"/>
  <c r="T711" i="14"/>
  <c r="C710" i="14"/>
  <c r="Y758" i="21"/>
  <c r="Y770" i="21"/>
  <c r="Y769" i="21"/>
  <c r="Y771" i="21"/>
  <c r="AA731" i="21"/>
  <c r="AA733" i="21"/>
  <c r="AA728" i="21"/>
  <c r="AA729" i="21"/>
  <c r="AA735" i="21"/>
  <c r="AA737" i="21"/>
  <c r="AA739" i="21"/>
  <c r="AB721" i="21"/>
  <c r="AB720" i="21"/>
  <c r="AC718" i="21"/>
  <c r="AC719" i="21"/>
  <c r="Z768" i="21"/>
  <c r="Z747" i="21"/>
  <c r="Z748" i="21"/>
  <c r="Z757" i="21"/>
  <c r="Z758" i="21"/>
  <c r="X771" i="21"/>
  <c r="W771" i="21"/>
  <c r="Y749" i="21"/>
  <c r="T771" i="20"/>
  <c r="U758" i="20"/>
  <c r="U749" i="20"/>
  <c r="W731" i="20"/>
  <c r="W733" i="20"/>
  <c r="W728" i="20"/>
  <c r="W729" i="20"/>
  <c r="W735" i="20"/>
  <c r="W737" i="20"/>
  <c r="W739" i="20"/>
  <c r="U770" i="20"/>
  <c r="U769" i="20"/>
  <c r="U771" i="20"/>
  <c r="V747" i="20"/>
  <c r="V748" i="20"/>
  <c r="V757" i="20"/>
  <c r="V768" i="20"/>
  <c r="X720" i="20"/>
  <c r="Y718" i="20"/>
  <c r="Y719" i="20"/>
  <c r="X721" i="20"/>
  <c r="S747" i="14"/>
  <c r="S748" i="14"/>
  <c r="S757" i="14"/>
  <c r="S758" i="14"/>
  <c r="S768" i="14"/>
  <c r="T719" i="14"/>
  <c r="C711" i="14"/>
  <c r="R771" i="14"/>
  <c r="Z749" i="21"/>
  <c r="Z770" i="21"/>
  <c r="Z769" i="21"/>
  <c r="Z771" i="21"/>
  <c r="AC721" i="21"/>
  <c r="AC720" i="21"/>
  <c r="AD718" i="21"/>
  <c r="AD719" i="21"/>
  <c r="AB731" i="21"/>
  <c r="AB733" i="21"/>
  <c r="AB728" i="21"/>
  <c r="AB729" i="21"/>
  <c r="AB735" i="21"/>
  <c r="AB737" i="21"/>
  <c r="AB739" i="21"/>
  <c r="AA768" i="21"/>
  <c r="AA747" i="21"/>
  <c r="AA748" i="21"/>
  <c r="AA757" i="21"/>
  <c r="AA758" i="21"/>
  <c r="V749" i="20"/>
  <c r="Y720" i="20"/>
  <c r="Z718" i="20"/>
  <c r="Z719" i="20"/>
  <c r="Y721" i="20"/>
  <c r="V758" i="20"/>
  <c r="X731" i="20"/>
  <c r="X733" i="20"/>
  <c r="X728" i="20"/>
  <c r="X729" i="20"/>
  <c r="V769" i="20"/>
  <c r="V770" i="20"/>
  <c r="W747" i="20"/>
  <c r="W748" i="20"/>
  <c r="W757" i="20"/>
  <c r="W768" i="20"/>
  <c r="S749" i="14"/>
  <c r="S769" i="14"/>
  <c r="S770" i="14"/>
  <c r="T720" i="14"/>
  <c r="U718" i="14"/>
  <c r="U719" i="14"/>
  <c r="T721" i="14"/>
  <c r="AA770" i="21"/>
  <c r="AA769" i="21"/>
  <c r="AA771" i="21"/>
  <c r="AB747" i="21"/>
  <c r="AB748" i="21"/>
  <c r="AB757" i="21"/>
  <c r="AB758" i="21"/>
  <c r="AB768" i="21"/>
  <c r="AD721" i="21"/>
  <c r="AD720" i="21"/>
  <c r="AC728" i="21"/>
  <c r="AC729" i="21"/>
  <c r="AC731" i="21"/>
  <c r="AC733" i="21"/>
  <c r="AA749" i="21"/>
  <c r="AB749" i="21"/>
  <c r="X735" i="20"/>
  <c r="X737" i="20"/>
  <c r="X739" i="20"/>
  <c r="X768" i="20"/>
  <c r="Y728" i="20"/>
  <c r="Y729" i="20"/>
  <c r="Y731" i="20"/>
  <c r="Y733" i="20"/>
  <c r="W770" i="20"/>
  <c r="W769" i="20"/>
  <c r="W771" i="20"/>
  <c r="V771" i="20"/>
  <c r="Z721" i="20"/>
  <c r="Z720" i="20"/>
  <c r="AA718" i="20"/>
  <c r="AA719" i="20"/>
  <c r="W758" i="20"/>
  <c r="W749" i="20"/>
  <c r="T728" i="14"/>
  <c r="T729" i="14"/>
  <c r="T731" i="14"/>
  <c r="T733" i="14"/>
  <c r="S771" i="14"/>
  <c r="U721" i="14"/>
  <c r="U720" i="14"/>
  <c r="V718" i="14"/>
  <c r="V719" i="14"/>
  <c r="X747" i="20"/>
  <c r="X748" i="20"/>
  <c r="X757" i="20"/>
  <c r="AC735" i="21"/>
  <c r="AC737" i="21"/>
  <c r="AC739" i="21"/>
  <c r="AD728" i="21"/>
  <c r="AD731" i="21"/>
  <c r="C721" i="21"/>
  <c r="AB769" i="21"/>
  <c r="AB770" i="21"/>
  <c r="X758" i="20"/>
  <c r="X749" i="20"/>
  <c r="AA721" i="20"/>
  <c r="AA720" i="20"/>
  <c r="AB718" i="20"/>
  <c r="AB719" i="20"/>
  <c r="X769" i="20"/>
  <c r="X770" i="20"/>
  <c r="Z728" i="20"/>
  <c r="Z729" i="20"/>
  <c r="Z731" i="20"/>
  <c r="Z733" i="20"/>
  <c r="Y735" i="20"/>
  <c r="Y737" i="20"/>
  <c r="Y739" i="20"/>
  <c r="U728" i="14"/>
  <c r="U729" i="14"/>
  <c r="U731" i="14"/>
  <c r="U733" i="14"/>
  <c r="V720" i="14"/>
  <c r="W718" i="14"/>
  <c r="W719" i="14"/>
  <c r="V721" i="14"/>
  <c r="T735" i="14"/>
  <c r="T737" i="14"/>
  <c r="T739" i="14"/>
  <c r="AB771" i="21"/>
  <c r="AD733" i="21"/>
  <c r="C733" i="21"/>
  <c r="C731" i="21"/>
  <c r="AD729" i="21"/>
  <c r="C728" i="21"/>
  <c r="AC747" i="21"/>
  <c r="AC748" i="21"/>
  <c r="AC768" i="21"/>
  <c r="Z735" i="20"/>
  <c r="Z737" i="20"/>
  <c r="Z739" i="20"/>
  <c r="Z768" i="20"/>
  <c r="Z747" i="20"/>
  <c r="Z748" i="20"/>
  <c r="Z757" i="20"/>
  <c r="AB721" i="20"/>
  <c r="AB720" i="20"/>
  <c r="AC718" i="20"/>
  <c r="AC719" i="20"/>
  <c r="AA731" i="20"/>
  <c r="AA733" i="20"/>
  <c r="AA728" i="20"/>
  <c r="AA729" i="20"/>
  <c r="Y768" i="20"/>
  <c r="Y747" i="20"/>
  <c r="Y748" i="20"/>
  <c r="X771" i="20"/>
  <c r="U735" i="14"/>
  <c r="U737" i="14"/>
  <c r="U739" i="14"/>
  <c r="T747" i="14"/>
  <c r="T748" i="14"/>
  <c r="T768" i="14"/>
  <c r="U747" i="14"/>
  <c r="U748" i="14"/>
  <c r="U757" i="14"/>
  <c r="U768" i="14"/>
  <c r="V728" i="14"/>
  <c r="V729" i="14"/>
  <c r="V731" i="14"/>
  <c r="V733" i="14"/>
  <c r="W721" i="14"/>
  <c r="W720" i="14"/>
  <c r="X718" i="14"/>
  <c r="X719" i="14"/>
  <c r="AC770" i="21"/>
  <c r="AC769" i="21"/>
  <c r="AC771" i="21"/>
  <c r="AC757" i="21"/>
  <c r="AC758" i="21"/>
  <c r="AC749" i="21"/>
  <c r="AD735" i="21"/>
  <c r="C729" i="21"/>
  <c r="AA735" i="20"/>
  <c r="AA737" i="20"/>
  <c r="AA739" i="20"/>
  <c r="AA747" i="20"/>
  <c r="AA748" i="20"/>
  <c r="AA757" i="20"/>
  <c r="Y757" i="20"/>
  <c r="Y758" i="20"/>
  <c r="Z758" i="20"/>
  <c r="Y749" i="20"/>
  <c r="Z749" i="20"/>
  <c r="Y770" i="20"/>
  <c r="Y769" i="20"/>
  <c r="AA768" i="20"/>
  <c r="AC721" i="20"/>
  <c r="AC720" i="20"/>
  <c r="AD718" i="20"/>
  <c r="AD719" i="20"/>
  <c r="AB728" i="20"/>
  <c r="AB729" i="20"/>
  <c r="AB731" i="20"/>
  <c r="AB733" i="20"/>
  <c r="Z769" i="20"/>
  <c r="Z770" i="20"/>
  <c r="T757" i="14"/>
  <c r="T758" i="14"/>
  <c r="T749" i="14"/>
  <c r="U749" i="14"/>
  <c r="V735" i="14"/>
  <c r="V737" i="14"/>
  <c r="V739" i="14"/>
  <c r="V747" i="14"/>
  <c r="V748" i="14"/>
  <c r="V757" i="14"/>
  <c r="W728" i="14"/>
  <c r="W729" i="14"/>
  <c r="W731" i="14"/>
  <c r="W733" i="14"/>
  <c r="U770" i="14"/>
  <c r="U769" i="14"/>
  <c r="T769" i="14"/>
  <c r="T770" i="14"/>
  <c r="X721" i="14"/>
  <c r="X720" i="14"/>
  <c r="Y718" i="14"/>
  <c r="Y719" i="14"/>
  <c r="U758" i="14"/>
  <c r="C735" i="21"/>
  <c r="AD737" i="21"/>
  <c r="Y771" i="20"/>
  <c r="Z771" i="20"/>
  <c r="AB735" i="20"/>
  <c r="AB737" i="20"/>
  <c r="AB739" i="20"/>
  <c r="AD721" i="20"/>
  <c r="AD720" i="20"/>
  <c r="AC728" i="20"/>
  <c r="AC729" i="20"/>
  <c r="AC731" i="20"/>
  <c r="AC733" i="20"/>
  <c r="AA770" i="20"/>
  <c r="AA769" i="20"/>
  <c r="AA771" i="20"/>
  <c r="AA749" i="20"/>
  <c r="AA758" i="20"/>
  <c r="V749" i="14"/>
  <c r="V768" i="14"/>
  <c r="V758" i="14"/>
  <c r="U771" i="14"/>
  <c r="T771" i="14"/>
  <c r="W735" i="14"/>
  <c r="W737" i="14"/>
  <c r="W739" i="14"/>
  <c r="X728" i="14"/>
  <c r="X729" i="14"/>
  <c r="X731" i="14"/>
  <c r="X733" i="14"/>
  <c r="V769" i="14"/>
  <c r="V770" i="14"/>
  <c r="Y720" i="14"/>
  <c r="Z718" i="14"/>
  <c r="Z719" i="14"/>
  <c r="Y721" i="14"/>
  <c r="AD739" i="21"/>
  <c r="C737" i="21"/>
  <c r="AC735" i="20"/>
  <c r="AC737" i="20"/>
  <c r="AC739" i="20"/>
  <c r="AD731" i="20"/>
  <c r="AD728" i="20"/>
  <c r="C721" i="20"/>
  <c r="AC768" i="20"/>
  <c r="AC747" i="20"/>
  <c r="AC748" i="20"/>
  <c r="AC757" i="20"/>
  <c r="AB768" i="20"/>
  <c r="AB747" i="20"/>
  <c r="AB748" i="20"/>
  <c r="AB757" i="20"/>
  <c r="AB758" i="20"/>
  <c r="AC758" i="20"/>
  <c r="X735" i="14"/>
  <c r="X737" i="14"/>
  <c r="X739" i="14"/>
  <c r="X747" i="14"/>
  <c r="X748" i="14"/>
  <c r="X757" i="14"/>
  <c r="W747" i="14"/>
  <c r="W748" i="14"/>
  <c r="W757" i="14"/>
  <c r="W758" i="14"/>
  <c r="W768" i="14"/>
  <c r="Y731" i="14"/>
  <c r="Y733" i="14"/>
  <c r="Y728" i="14"/>
  <c r="Y729" i="14"/>
  <c r="Y735" i="14"/>
  <c r="Y737" i="14"/>
  <c r="Y739" i="14"/>
  <c r="V771" i="14"/>
  <c r="Z721" i="14"/>
  <c r="Z720" i="14"/>
  <c r="AA718" i="14"/>
  <c r="AA719" i="14"/>
  <c r="AD747" i="21"/>
  <c r="AD768" i="21"/>
  <c r="C739" i="21"/>
  <c r="AC770" i="20"/>
  <c r="AC769" i="20"/>
  <c r="AD733" i="20"/>
  <c r="C733" i="20"/>
  <c r="C731" i="20"/>
  <c r="AB769" i="20"/>
  <c r="AB770" i="20"/>
  <c r="AD729" i="20"/>
  <c r="C728" i="20"/>
  <c r="AB749" i="20"/>
  <c r="AC749" i="20"/>
  <c r="X768" i="14"/>
  <c r="X770" i="14"/>
  <c r="X758" i="14"/>
  <c r="W749" i="14"/>
  <c r="X749" i="14"/>
  <c r="AA721" i="14"/>
  <c r="AA720" i="14"/>
  <c r="AB718" i="14"/>
  <c r="AB719" i="14"/>
  <c r="Z728" i="14"/>
  <c r="Z729" i="14"/>
  <c r="Z731" i="14"/>
  <c r="Z733" i="14"/>
  <c r="W769" i="14"/>
  <c r="W770" i="14"/>
  <c r="Y747" i="14"/>
  <c r="Y748" i="14"/>
  <c r="Y757" i="14"/>
  <c r="Y768" i="14"/>
  <c r="AD770" i="21"/>
  <c r="AD769" i="21"/>
  <c r="AD771" i="21"/>
  <c r="C747" i="21"/>
  <c r="C17" i="21"/>
  <c r="AD748" i="21"/>
  <c r="AC771" i="20"/>
  <c r="AD735" i="20"/>
  <c r="C729" i="20"/>
  <c r="AB771" i="20"/>
  <c r="X769" i="14"/>
  <c r="X771" i="14"/>
  <c r="Y758" i="14"/>
  <c r="Y749" i="14"/>
  <c r="W771" i="14"/>
  <c r="Z735" i="14"/>
  <c r="Z737" i="14"/>
  <c r="Z739" i="14"/>
  <c r="Z747" i="14"/>
  <c r="Z748" i="14"/>
  <c r="Z757" i="14"/>
  <c r="AA731" i="14"/>
  <c r="AA733" i="14"/>
  <c r="AA728" i="14"/>
  <c r="AA729" i="14"/>
  <c r="AB721" i="14"/>
  <c r="AB720" i="14"/>
  <c r="AC718" i="14"/>
  <c r="AC719" i="14"/>
  <c r="Y770" i="14"/>
  <c r="Y769" i="14"/>
  <c r="Z758" i="14"/>
  <c r="AD757" i="21"/>
  <c r="C752" i="21"/>
  <c r="C21" i="21"/>
  <c r="C12" i="9"/>
  <c r="C748" i="21"/>
  <c r="AD749" i="21"/>
  <c r="C735" i="20"/>
  <c r="AD737" i="20"/>
  <c r="Z768" i="14"/>
  <c r="Z770" i="14"/>
  <c r="Z749" i="14"/>
  <c r="AA735" i="14"/>
  <c r="AA737" i="14"/>
  <c r="AA739" i="14"/>
  <c r="AA768" i="14"/>
  <c r="AC720" i="14"/>
  <c r="AD718" i="14"/>
  <c r="AD719" i="14"/>
  <c r="AC721" i="14"/>
  <c r="AB728" i="14"/>
  <c r="AB729" i="14"/>
  <c r="AB731" i="14"/>
  <c r="AB733" i="14"/>
  <c r="Y771" i="14"/>
  <c r="AA747" i="14"/>
  <c r="AA748" i="14"/>
  <c r="AA757" i="14"/>
  <c r="AA758" i="14"/>
  <c r="Z769" i="14"/>
  <c r="C18" i="21"/>
  <c r="C17" i="9"/>
  <c r="C757" i="21"/>
  <c r="C759" i="21"/>
  <c r="C20" i="21"/>
  <c r="C7" i="9"/>
  <c r="E7" i="9"/>
  <c r="AD758" i="21"/>
  <c r="AD739" i="20"/>
  <c r="C737" i="20"/>
  <c r="AA749" i="14"/>
  <c r="AB735" i="14"/>
  <c r="AB737" i="14"/>
  <c r="AB739" i="14"/>
  <c r="AB747" i="14"/>
  <c r="AB748" i="14"/>
  <c r="AB757" i="14"/>
  <c r="AB758" i="14"/>
  <c r="Z771" i="14"/>
  <c r="AC728" i="14"/>
  <c r="AC729" i="14"/>
  <c r="AC731" i="14"/>
  <c r="AC733" i="14"/>
  <c r="AD721" i="14"/>
  <c r="AD720" i="14"/>
  <c r="AA770" i="14"/>
  <c r="AA769" i="14"/>
  <c r="AD768" i="20"/>
  <c r="AD747" i="20"/>
  <c r="C739" i="20"/>
  <c r="AB749" i="14"/>
  <c r="AA771" i="14"/>
  <c r="AB768" i="14"/>
  <c r="AB769" i="14"/>
  <c r="AC735" i="14"/>
  <c r="AC737" i="14"/>
  <c r="AC739" i="14"/>
  <c r="AC747" i="14"/>
  <c r="AC748" i="14"/>
  <c r="AC757" i="14"/>
  <c r="AC758" i="14"/>
  <c r="AD728" i="14"/>
  <c r="AD731" i="14"/>
  <c r="C721" i="14"/>
  <c r="AB770" i="14"/>
  <c r="C747" i="20"/>
  <c r="C17" i="20"/>
  <c r="AD748" i="20"/>
  <c r="AD769" i="20"/>
  <c r="AD770" i="20"/>
  <c r="AC749" i="14"/>
  <c r="AB771" i="14"/>
  <c r="AC768" i="14"/>
  <c r="AC770" i="14"/>
  <c r="AD733" i="14"/>
  <c r="C733" i="14"/>
  <c r="C731" i="14"/>
  <c r="C728" i="14"/>
  <c r="AD729" i="14"/>
  <c r="AD771" i="20"/>
  <c r="AD757" i="20"/>
  <c r="C752" i="20"/>
  <c r="C21" i="20"/>
  <c r="C11" i="9"/>
  <c r="C748" i="20"/>
  <c r="AD749" i="20"/>
  <c r="AC769" i="14"/>
  <c r="AC771" i="14"/>
  <c r="AD735" i="14"/>
  <c r="C729" i="14"/>
  <c r="C18" i="20"/>
  <c r="C16" i="9"/>
  <c r="C759" i="20"/>
  <c r="C20" i="20"/>
  <c r="C6" i="9"/>
  <c r="E6" i="9"/>
  <c r="C757" i="20"/>
  <c r="AD758" i="20"/>
  <c r="C735" i="14"/>
  <c r="AD737" i="14"/>
  <c r="AD739" i="14"/>
  <c r="C737" i="14"/>
  <c r="AD747" i="14"/>
  <c r="AD768" i="14"/>
  <c r="C739" i="14"/>
  <c r="E16" i="9"/>
  <c r="E11" i="9"/>
  <c r="AD769" i="14"/>
  <c r="AD770" i="14"/>
  <c r="C747" i="14"/>
  <c r="C17" i="14"/>
  <c r="AD748" i="14"/>
  <c r="AD749" i="14"/>
  <c r="AD771" i="14"/>
  <c r="E12" i="9"/>
  <c r="E17" i="9"/>
  <c r="AD757" i="14"/>
  <c r="C752" i="14"/>
  <c r="C21" i="14"/>
  <c r="C748" i="14"/>
  <c r="C15" i="9"/>
  <c r="E15" i="9"/>
  <c r="E18" i="9"/>
  <c r="C18" i="14"/>
  <c r="C10" i="9"/>
  <c r="E10" i="9"/>
  <c r="E13" i="9"/>
  <c r="C759" i="14"/>
  <c r="C757" i="14"/>
  <c r="AD758" i="14"/>
  <c r="C20" i="14"/>
  <c r="C5" i="9"/>
  <c r="E5" i="9"/>
  <c r="E8" i="9"/>
</calcChain>
</file>

<file path=xl/sharedStrings.xml><?xml version="1.0" encoding="utf-8"?>
<sst xmlns="http://schemas.openxmlformats.org/spreadsheetml/2006/main" count="2289" uniqueCount="633">
  <si>
    <t>Contact</t>
  </si>
  <si>
    <t>Purpose</t>
  </si>
  <si>
    <t>Discount Rate</t>
  </si>
  <si>
    <t>Audits</t>
  </si>
  <si>
    <t>Cashstream 1: Production and Revenue</t>
  </si>
  <si>
    <t>units</t>
  </si>
  <si>
    <t>Total</t>
  </si>
  <si>
    <t>Production</t>
  </si>
  <si>
    <t>weeks</t>
  </si>
  <si>
    <t>Debtors</t>
  </si>
  <si>
    <t>days</t>
  </si>
  <si>
    <t>Debtors - Closing</t>
  </si>
  <si>
    <t>Cashstream 2: Capital Costs</t>
  </si>
  <si>
    <t>Tax Deduction for Capital Expenditure</t>
  </si>
  <si>
    <t>Cashstream 3: Operating Costs</t>
  </si>
  <si>
    <t>Cashstream 4: Taxes</t>
  </si>
  <si>
    <t>less</t>
  </si>
  <si>
    <t>Discount Factor</t>
  </si>
  <si>
    <t>Data for Graphs</t>
  </si>
  <si>
    <t>Cashflow if positive</t>
  </si>
  <si>
    <t>Cashflow Deficit</t>
  </si>
  <si>
    <t>Cashlows</t>
  </si>
  <si>
    <t>Cash Flow</t>
  </si>
  <si>
    <t>Warnings</t>
  </si>
  <si>
    <t xml:space="preserve">Self audit </t>
  </si>
  <si>
    <t>% Real</t>
  </si>
  <si>
    <t>000 dry tonnes</t>
  </si>
  <si>
    <t>% diminishing value</t>
  </si>
  <si>
    <t>mining opex</t>
  </si>
  <si>
    <t>Mining</t>
  </si>
  <si>
    <t>Processing</t>
  </si>
  <si>
    <t>General &amp; Administration</t>
  </si>
  <si>
    <t>processing opex</t>
  </si>
  <si>
    <t>Peter Card</t>
  </si>
  <si>
    <t>Common Data</t>
  </si>
  <si>
    <t>% Cu</t>
  </si>
  <si>
    <t>g/t Au</t>
  </si>
  <si>
    <t>g/t Ag</t>
  </si>
  <si>
    <t>000 tonnes</t>
  </si>
  <si>
    <t>ore stockpiles</t>
  </si>
  <si>
    <t>Recovery - copper</t>
  </si>
  <si>
    <t>Recovery - gold</t>
  </si>
  <si>
    <t>Recovery - silver</t>
  </si>
  <si>
    <t>% Au</t>
  </si>
  <si>
    <t>Concentrate moisture</t>
  </si>
  <si>
    <t>Copper deduction</t>
  </si>
  <si>
    <t>Concentrate's - copper payable</t>
  </si>
  <si>
    <t>US$/ lb real</t>
  </si>
  <si>
    <t>Concentrate - copper payable</t>
  </si>
  <si>
    <t>US$/ tonne concentrate</t>
  </si>
  <si>
    <t>Concentrate's - copper deduction</t>
  </si>
  <si>
    <t>copper deductions</t>
  </si>
  <si>
    <t>gold deductions</t>
  </si>
  <si>
    <t>Copper concentrate &gt;XX % Cu</t>
  </si>
  <si>
    <t>gold deduction</t>
  </si>
  <si>
    <t>Copper concentrate &lt;XX g/t Au</t>
  </si>
  <si>
    <t>silver deduction</t>
  </si>
  <si>
    <t>Concentrate's - gold deduction</t>
  </si>
  <si>
    <t>Concentrate's - gold payable</t>
  </si>
  <si>
    <t>Silver deductions and payable</t>
  </si>
  <si>
    <t>US$/ t conc Real</t>
  </si>
  <si>
    <t>US$/lb payable Real</t>
  </si>
  <si>
    <t>US$/oz payable Real</t>
  </si>
  <si>
    <t>US$/ tonne concentrate  Real</t>
  </si>
  <si>
    <t>deduct</t>
  </si>
  <si>
    <t>% Cu per tonne concentrate</t>
  </si>
  <si>
    <t>g/t Au per tonne concentrate</t>
  </si>
  <si>
    <t>copper conc - copper refining charges</t>
  </si>
  <si>
    <t>copper conc - gold refining charges</t>
  </si>
  <si>
    <t>copper conc - treatment terms</t>
  </si>
  <si>
    <t>copper conc - silver refining charges</t>
  </si>
  <si>
    <t xml:space="preserve">copper concentrate - payable Cu+Au+Ag </t>
  </si>
  <si>
    <t>copper concentrate - TC and RC's</t>
  </si>
  <si>
    <t>Copper concentrate - net price received</t>
  </si>
  <si>
    <t>Selling price of copper concentrate</t>
  </si>
  <si>
    <t>000 tonnes Cu</t>
  </si>
  <si>
    <t>copper concentrate - net copper</t>
  </si>
  <si>
    <t>copper concentrate - net gold</t>
  </si>
  <si>
    <t>copper concentrate - net silver</t>
  </si>
  <si>
    <t>comprising</t>
  </si>
  <si>
    <t>copper concentrate sold</t>
  </si>
  <si>
    <t>000 tonnes DRY</t>
  </si>
  <si>
    <t>US$ millions Real</t>
  </si>
  <si>
    <t>from start year 1</t>
  </si>
  <si>
    <t>Product Logistics</t>
  </si>
  <si>
    <t>000 tonnes WET</t>
  </si>
  <si>
    <t>Assessable income</t>
  </si>
  <si>
    <t>Concentrate - % of contained copper payable</t>
  </si>
  <si>
    <t>% of contained copper</t>
  </si>
  <si>
    <t>copper concentrate produced</t>
  </si>
  <si>
    <t>% of Au total content</t>
  </si>
  <si>
    <t>% of Ag total content</t>
  </si>
  <si>
    <t>% assessable income</t>
  </si>
  <si>
    <t>US$/lb copper</t>
  </si>
  <si>
    <t>Net Smelter Return "NSR"</t>
  </si>
  <si>
    <t xml:space="preserve">Copper concentrates in stock </t>
  </si>
  <si>
    <t>Moly concentrates in stock</t>
  </si>
  <si>
    <t>Cu head grade</t>
  </si>
  <si>
    <t>Moly head grade</t>
  </si>
  <si>
    <t>% Mo</t>
  </si>
  <si>
    <r>
      <rPr>
        <b/>
        <sz val="10"/>
        <color theme="1"/>
        <rFont val="Calibri"/>
        <family val="2"/>
        <scheme val="minor"/>
      </rPr>
      <t>US</t>
    </r>
    <r>
      <rPr>
        <sz val="10"/>
        <color theme="1"/>
        <rFont val="Calibri"/>
        <family val="2"/>
        <scheme val="minor"/>
      </rPr>
      <t>$ millions Real</t>
    </r>
  </si>
  <si>
    <t>copper concentrate grade - gold</t>
  </si>
  <si>
    <t>Recovery - moly</t>
  </si>
  <si>
    <t>Copper Concentrate Grade - copper</t>
  </si>
  <si>
    <t>Moly Concentrate Grade - moly</t>
  </si>
  <si>
    <t>moly concentrate produced</t>
  </si>
  <si>
    <t>copper concentrate grade - silver</t>
  </si>
  <si>
    <t>copper conc - contained gold</t>
  </si>
  <si>
    <t>copper conc - contained silver</t>
  </si>
  <si>
    <t>000 tonnes Mo</t>
  </si>
  <si>
    <t>closing moly concentrates at TS</t>
  </si>
  <si>
    <t>moly concentrate sold</t>
  </si>
  <si>
    <t>Revenues</t>
  </si>
  <si>
    <t>US$/ oz real</t>
  </si>
  <si>
    <t>Revenue - copper conc</t>
  </si>
  <si>
    <t>Revenue - moly conc</t>
  </si>
  <si>
    <t>Revenue - concentrates</t>
  </si>
  <si>
    <t>% of contained Mo</t>
  </si>
  <si>
    <t>moly concentrate - moly payable</t>
  </si>
  <si>
    <t>% moisture</t>
  </si>
  <si>
    <t>Moly concentrate - net price received</t>
  </si>
  <si>
    <t>Aggregate contained value</t>
  </si>
  <si>
    <t>ongoing capex</t>
  </si>
  <si>
    <t>Forex</t>
  </si>
  <si>
    <t>factor</t>
  </si>
  <si>
    <t>% /annum</t>
  </si>
  <si>
    <t>persons</t>
  </si>
  <si>
    <t>labour rate</t>
  </si>
  <si>
    <t xml:space="preserve">road contract rate </t>
  </si>
  <si>
    <t>km</t>
  </si>
  <si>
    <t xml:space="preserve">freight rate copper conc </t>
  </si>
  <si>
    <t>product logistics - copper conc</t>
  </si>
  <si>
    <t xml:space="preserve">freight rate moly conc </t>
  </si>
  <si>
    <t>product logistics - moly conc</t>
  </si>
  <si>
    <t>Product Logistics - copper &amp; moly</t>
  </si>
  <si>
    <t>Closure costs - rate</t>
  </si>
  <si>
    <t>Discounted Cashflow</t>
  </si>
  <si>
    <t>Cumulative NPV</t>
  </si>
  <si>
    <t>Royalty - copper</t>
  </si>
  <si>
    <t>Royalty - moly</t>
  </si>
  <si>
    <t>Royalty - gold</t>
  </si>
  <si>
    <t>Royalty - silver</t>
  </si>
  <si>
    <t>Threshold tax rate</t>
  </si>
  <si>
    <t>Assessable income threshold</t>
  </si>
  <si>
    <t>Income tax on threshold income</t>
  </si>
  <si>
    <t>Assessable income above threshold</t>
  </si>
  <si>
    <t>Assessable income below threshold</t>
  </si>
  <si>
    <t>Income tax on above threshold income</t>
  </si>
  <si>
    <t>Opex plus Royalty</t>
  </si>
  <si>
    <t>IRR</t>
  </si>
  <si>
    <t>NPV</t>
  </si>
  <si>
    <t xml:space="preserve"> +/- NPV</t>
  </si>
  <si>
    <t xml:space="preserve">$/lb </t>
  </si>
  <si>
    <t xml:space="preserve">OR Pay the lesser of </t>
  </si>
  <si>
    <t>Calendar Year --&gt;</t>
  </si>
  <si>
    <t>Pay the lesser of: -</t>
  </si>
  <si>
    <t>M dry tonnes</t>
  </si>
  <si>
    <t>road contract rate - before real increase</t>
  </si>
  <si>
    <t>real increase in transport acosts</t>
  </si>
  <si>
    <t>Minor metal credits</t>
  </si>
  <si>
    <t>copper royalties</t>
  </si>
  <si>
    <t>US$/tonne Cu</t>
  </si>
  <si>
    <t xml:space="preserve">% </t>
  </si>
  <si>
    <t>%</t>
  </si>
  <si>
    <t>copper revenue after TC/RC</t>
  </si>
  <si>
    <t>molybdenum royalties</t>
  </si>
  <si>
    <t>gold royalties</t>
  </si>
  <si>
    <t>silver royalties</t>
  </si>
  <si>
    <t>Undeducted capex</t>
  </si>
  <si>
    <t>assessable income</t>
  </si>
  <si>
    <t>electricity price</t>
  </si>
  <si>
    <t>raw water - price</t>
  </si>
  <si>
    <t>kW</t>
  </si>
  <si>
    <t>labour - Administration</t>
  </si>
  <si>
    <t>labour - logistics</t>
  </si>
  <si>
    <t>labour rate - Admin</t>
  </si>
  <si>
    <t>labour - logistics on-site</t>
  </si>
  <si>
    <t>labour - logistics off-site</t>
  </si>
  <si>
    <t>labour - camp</t>
  </si>
  <si>
    <t>labour rate - camp</t>
  </si>
  <si>
    <t>labour - HSE &amp; C</t>
  </si>
  <si>
    <t>labour rate - HSE &amp; C</t>
  </si>
  <si>
    <t>Office maintenance &amp; supplies</t>
  </si>
  <si>
    <t>external audit</t>
  </si>
  <si>
    <t>legal</t>
  </si>
  <si>
    <t>Community support</t>
  </si>
  <si>
    <t>Licences, Permits, Fees</t>
  </si>
  <si>
    <t>Environmental fees</t>
  </si>
  <si>
    <t>Operations insurance</t>
  </si>
  <si>
    <t>Compulsory Environmental Insurance</t>
  </si>
  <si>
    <t>Copper Concentrate - TC and RC's</t>
  </si>
  <si>
    <t>Metal Prices</t>
  </si>
  <si>
    <t>millions dry tonnes</t>
  </si>
  <si>
    <t>% Ag</t>
  </si>
  <si>
    <t>1. Mining</t>
  </si>
  <si>
    <t>2. Processing</t>
  </si>
  <si>
    <t>i. Copper Concentrate</t>
  </si>
  <si>
    <t>ii. Molybdenum Concentrate</t>
  </si>
  <si>
    <t>3. Sales Volumes</t>
  </si>
  <si>
    <t>i. Sales of Copper Concentrate</t>
  </si>
  <si>
    <t>ii. Sales of moly Concentrate</t>
  </si>
  <si>
    <t>4. Pricing Concentrates</t>
  </si>
  <si>
    <t>i. Pricing one tonne of copper concentrate</t>
  </si>
  <si>
    <t>ii. Pricing one tonne of moly concentrate</t>
  </si>
  <si>
    <t>Concentrate  grade paid - method 1</t>
  </si>
  <si>
    <t>Concentrate  grade paid - method 2</t>
  </si>
  <si>
    <t>So pay:</t>
  </si>
  <si>
    <r>
      <t xml:space="preserve">US$/ tonne </t>
    </r>
    <r>
      <rPr>
        <b/>
        <sz val="10"/>
        <color theme="1"/>
        <rFont val="Calibri"/>
        <family val="2"/>
        <scheme val="minor"/>
      </rPr>
      <t>concentrate</t>
    </r>
  </si>
  <si>
    <r>
      <t xml:space="preserve">US$/ tonne </t>
    </r>
    <r>
      <rPr>
        <b/>
        <sz val="10"/>
        <color theme="1"/>
        <rFont val="Calibri"/>
        <family val="2"/>
        <scheme val="minor"/>
      </rPr>
      <t>concentrate</t>
    </r>
    <r>
      <rPr>
        <sz val="10"/>
        <color theme="1"/>
        <rFont val="Calibri"/>
        <family val="2"/>
        <scheme val="minor"/>
      </rPr>
      <t xml:space="preserve"> </t>
    </r>
  </si>
  <si>
    <t>Pay lesser of xx% of contained silver</t>
  </si>
  <si>
    <t>OR minimum deduction …. g/t Ag</t>
  </si>
  <si>
    <t>Copper concentrate - silver payable</t>
  </si>
  <si>
    <t>Copper Treatment Terms and Refining Charges</t>
  </si>
  <si>
    <t>Copper concentrate - gold payable</t>
  </si>
  <si>
    <t>moly conc - payable</t>
  </si>
  <si>
    <t>Revenue by metal: -</t>
  </si>
  <si>
    <t>Au head grade</t>
  </si>
  <si>
    <t>Au g/t</t>
  </si>
  <si>
    <t>g/t</t>
  </si>
  <si>
    <t>Ag head grade</t>
  </si>
  <si>
    <t>mining - fixed opex</t>
  </si>
  <si>
    <t>ongoing capex - major items</t>
  </si>
  <si>
    <t>National Income Taxes</t>
  </si>
  <si>
    <t>Nationaln general income tax rate</t>
  </si>
  <si>
    <t>to Jan 2016</t>
  </si>
  <si>
    <t>Mid Case</t>
  </si>
  <si>
    <t>External Parameters for  Mid Case</t>
  </si>
  <si>
    <t>Alpha Pit</t>
  </si>
  <si>
    <t>Beta Pit</t>
  </si>
  <si>
    <t>Ore mined - Alpha Pit</t>
  </si>
  <si>
    <t>Ore mined - Beta Pit</t>
  </si>
  <si>
    <t>contained copper - alpha pit</t>
  </si>
  <si>
    <t>contained copper - beta pit</t>
  </si>
  <si>
    <t>Waste mined - Alpha Pit</t>
  </si>
  <si>
    <t>Waste mined - Beta Pit</t>
  </si>
  <si>
    <t>Mining - Aggregate</t>
  </si>
  <si>
    <t xml:space="preserve">waste - aggregate  </t>
  </si>
  <si>
    <t xml:space="preserve">ore - aggregate  </t>
  </si>
  <si>
    <t xml:space="preserve">contained copper - aggregate  </t>
  </si>
  <si>
    <t>ore stockpiles - closing - alpha ore</t>
  </si>
  <si>
    <t>ore stockpiles - closing - beta ore</t>
  </si>
  <si>
    <t>ore feed to processing - aggregate</t>
  </si>
  <si>
    <t>ore feed to processing - alpha</t>
  </si>
  <si>
    <t>ore feed to processing - beta</t>
  </si>
  <si>
    <t xml:space="preserve">Ore feed </t>
  </si>
  <si>
    <t>contained moly - alpha pit</t>
  </si>
  <si>
    <t>contained gold - alpha pit</t>
  </si>
  <si>
    <t>000 ounces</t>
  </si>
  <si>
    <t>contained silver - alpha pit</t>
  </si>
  <si>
    <t xml:space="preserve">feed grade - copper </t>
  </si>
  <si>
    <t>feed grade - gold</t>
  </si>
  <si>
    <t>feed grade - silver</t>
  </si>
  <si>
    <t>feed grade - moly</t>
  </si>
  <si>
    <t>Ag g/t</t>
  </si>
  <si>
    <t>000 ounce Au</t>
  </si>
  <si>
    <t>000 ounce Ag</t>
  </si>
  <si>
    <t>closing copper concentrates in stocks and in transit to customers</t>
  </si>
  <si>
    <t>Value of contained metals in both concentrates</t>
  </si>
  <si>
    <t>copper concentrate sold - wet</t>
  </si>
  <si>
    <t>moly concentrate sold - wet</t>
  </si>
  <si>
    <t xml:space="preserve">Copper deduction - minimum </t>
  </si>
  <si>
    <t>% Cu (absolute)</t>
  </si>
  <si>
    <t>gold deductions and payable</t>
  </si>
  <si>
    <t>copper deductions and payable</t>
  </si>
  <si>
    <t xml:space="preserve">moly revenue </t>
  </si>
  <si>
    <t>minor metals</t>
  </si>
  <si>
    <t>Mine</t>
  </si>
  <si>
    <t>Mineral Processing Plant</t>
  </si>
  <si>
    <t>EPCM</t>
  </si>
  <si>
    <t>Infrastructure &amp; Utiities</t>
  </si>
  <si>
    <t>Spares and First Fill</t>
  </si>
  <si>
    <t>Other</t>
  </si>
  <si>
    <t>ongoing capex - general</t>
  </si>
  <si>
    <t>% of initial capex</t>
  </si>
  <si>
    <t>A$1.00 = US$ ....</t>
  </si>
  <si>
    <t>Copper price forecast - mid case</t>
  </si>
  <si>
    <t>Gold price forecast - mid case</t>
  </si>
  <si>
    <t>Silver price forecast - mid case</t>
  </si>
  <si>
    <t>Moly price forecast - mid case</t>
  </si>
  <si>
    <t>copper conc - treatment terms - mid case</t>
  </si>
  <si>
    <t>copper conc - copper refining charges - mid case</t>
  </si>
  <si>
    <t>copper conc - gold refining charges - mid case</t>
  </si>
  <si>
    <t>copper conc - silver refining charges - mid case</t>
  </si>
  <si>
    <t>Forex: A$ = US$  - mid case</t>
  </si>
  <si>
    <t>A$ millions Real</t>
  </si>
  <si>
    <t>A$ million Real</t>
  </si>
  <si>
    <r>
      <t xml:space="preserve">Initial Capex </t>
    </r>
    <r>
      <rPr>
        <sz val="14"/>
        <color rgb="FFFF0000"/>
        <rFont val="Calibri"/>
        <family val="2"/>
        <scheme val="minor"/>
      </rPr>
      <t>- cash payments</t>
    </r>
  </si>
  <si>
    <r>
      <t xml:space="preserve">Ongoing Capex </t>
    </r>
    <r>
      <rPr>
        <sz val="14"/>
        <color rgb="FFFF0000"/>
        <rFont val="Calibri"/>
        <family val="2"/>
        <scheme val="minor"/>
      </rPr>
      <t>- cash payments</t>
    </r>
  </si>
  <si>
    <t>Capex - Total cash payments in A$</t>
  </si>
  <si>
    <t>Inflation - Australia</t>
  </si>
  <si>
    <t>A$ millions NOMINAL</t>
  </si>
  <si>
    <t>Inflator</t>
  </si>
  <si>
    <t>A$ millions REAL</t>
  </si>
  <si>
    <t>A$ million</t>
  </si>
  <si>
    <t>waste removal rate - Alpha Pit</t>
  </si>
  <si>
    <t>ore removal rate - Alpha Pit</t>
  </si>
  <si>
    <t>waste  removal - opex</t>
  </si>
  <si>
    <t>ore  removal - opex</t>
  </si>
  <si>
    <t>Mining opex - Alpha Pit</t>
  </si>
  <si>
    <t>waste removal rate - Beta Pit</t>
  </si>
  <si>
    <t>ore removal rate - Beta Pit</t>
  </si>
  <si>
    <t>Mining opex - Beta Pit</t>
  </si>
  <si>
    <t>mining - variable opex</t>
  </si>
  <si>
    <t>A$/ tonne  Real</t>
  </si>
  <si>
    <t>CHECK: mining - opex /tonne ore</t>
  </si>
  <si>
    <t>A$ Real/ tonne milled</t>
  </si>
  <si>
    <t>Reagents and consumables</t>
  </si>
  <si>
    <t>reagents &amp; chemicals - rate</t>
  </si>
  <si>
    <t>grinding media consumption - rate</t>
  </si>
  <si>
    <t>kg media/ tonne milled</t>
  </si>
  <si>
    <t>grinding media price</t>
  </si>
  <si>
    <t>grinding media</t>
  </si>
  <si>
    <t>raw water - consumption</t>
  </si>
  <si>
    <t>m3/ tonne milled</t>
  </si>
  <si>
    <t>miscellaneous</t>
  </si>
  <si>
    <t>power</t>
  </si>
  <si>
    <t>electricity consumption</t>
  </si>
  <si>
    <t>kWh/ tonne milled</t>
  </si>
  <si>
    <t>labour - ops</t>
  </si>
  <si>
    <t>labour - mtce</t>
  </si>
  <si>
    <t>labour - tech services</t>
  </si>
  <si>
    <t>labour - processing</t>
  </si>
  <si>
    <t>A$ Real/ tonne media</t>
  </si>
  <si>
    <t>A$ Real/ m3</t>
  </si>
  <si>
    <t>raw water</t>
  </si>
  <si>
    <t xml:space="preserve">maintenance </t>
  </si>
  <si>
    <t>A$ Real/ kWh</t>
  </si>
  <si>
    <t>A$ Real / tonne milled</t>
  </si>
  <si>
    <t>maintenance</t>
  </si>
  <si>
    <t>reagents and consumables</t>
  </si>
  <si>
    <t>processing - variable opex</t>
  </si>
  <si>
    <t>processing - fixed opex</t>
  </si>
  <si>
    <t>000 A$ / person /annum</t>
  </si>
  <si>
    <t>Processing offices, services, transport</t>
  </si>
  <si>
    <t>A$ 000 / person /annum</t>
  </si>
  <si>
    <t>Recruitment &amp; training</t>
  </si>
  <si>
    <t>Vehicles</t>
  </si>
  <si>
    <t>Travel and accommodation</t>
  </si>
  <si>
    <t>IT and communications</t>
  </si>
  <si>
    <t>Office</t>
  </si>
  <si>
    <t>Electricity</t>
  </si>
  <si>
    <t>Licences and permits</t>
  </si>
  <si>
    <t>Labour - G&amp;A</t>
  </si>
  <si>
    <t>Insurance, Audit &amp; Legal</t>
  </si>
  <si>
    <t>Local fees and taxes</t>
  </si>
  <si>
    <t>Labour - Management &amp; Overheads</t>
  </si>
  <si>
    <t xml:space="preserve">Labour - Camp </t>
  </si>
  <si>
    <t>Labour - HSE &amp; Community</t>
  </si>
  <si>
    <t>electricity consumption - G&amp;A</t>
  </si>
  <si>
    <t>mining fixed costs - rate</t>
  </si>
  <si>
    <t>% /annum from 2019</t>
  </si>
  <si>
    <t>A$ /t-km</t>
  </si>
  <si>
    <t>distance to port</t>
  </si>
  <si>
    <t>A$ /WMT</t>
  </si>
  <si>
    <t>warehousing, loading &amp; port charges - rate</t>
  </si>
  <si>
    <t>warehousing, loading &amp; port charges</t>
  </si>
  <si>
    <t>i. transporting copper conc (FOB ship)</t>
  </si>
  <si>
    <t>ii. transporting moly conc  (FOB ship)</t>
  </si>
  <si>
    <t>real increase in transport costs</t>
  </si>
  <si>
    <t xml:space="preserve">road transport - copper conc </t>
  </si>
  <si>
    <t xml:space="preserve">road transport - moly conc </t>
  </si>
  <si>
    <t>A$ /tonne waste</t>
  </si>
  <si>
    <t>Rehabilitation &amp; Environmental and Closure</t>
  </si>
  <si>
    <t>Ongoing rehabilitation of waste dumps</t>
  </si>
  <si>
    <t>Ongoing rehabilitation of tailings dam, etc</t>
  </si>
  <si>
    <t>A$ /tonne ore</t>
  </si>
  <si>
    <t>rehab &amp; environmental - waste</t>
  </si>
  <si>
    <t>rehab &amp; environmental - ore</t>
  </si>
  <si>
    <t>Closure</t>
  </si>
  <si>
    <t>processing opex - rate</t>
  </si>
  <si>
    <t>Labour - Logistics &amp; warehouse</t>
  </si>
  <si>
    <t>Head Office - incremental</t>
  </si>
  <si>
    <t>Incremental Head Office - rate</t>
  </si>
  <si>
    <t>Necessary infill drilling &amp; geotechnical assessment</t>
  </si>
  <si>
    <t>Exploration &amp; Geotechnical</t>
  </si>
  <si>
    <t>brownfield and greenfield exploration</t>
  </si>
  <si>
    <r>
      <rPr>
        <b/>
        <sz val="10"/>
        <color theme="1"/>
        <rFont val="Calibri"/>
        <family val="2"/>
        <scheme val="minor"/>
      </rPr>
      <t>A</t>
    </r>
    <r>
      <rPr>
        <sz val="10"/>
        <color theme="1"/>
        <rFont val="Calibri"/>
        <family val="2"/>
        <scheme val="minor"/>
      </rPr>
      <t>$ millions Real</t>
    </r>
  </si>
  <si>
    <t>State Royalties</t>
  </si>
  <si>
    <t>Copper Concentrate Payment Terms</t>
  </si>
  <si>
    <t>Moly Concentrate Payment terms</t>
  </si>
  <si>
    <t>US$/lb</t>
  </si>
  <si>
    <t>US$/tonne Cu in 2015 Real terms</t>
  </si>
  <si>
    <t>State Royalty rate</t>
  </si>
  <si>
    <t>Product Logistics - copper &amp; moly concentrates - US$</t>
  </si>
  <si>
    <t>US$ million Real</t>
  </si>
  <si>
    <t>State copper royalty</t>
  </si>
  <si>
    <t>State molybdenum royalty</t>
  </si>
  <si>
    <t>State gold royalty</t>
  </si>
  <si>
    <t>State silver royalty</t>
  </si>
  <si>
    <t>revenue at point of sale</t>
  </si>
  <si>
    <t xml:space="preserve">Copper price on LME </t>
  </si>
  <si>
    <t>Copper price on LME</t>
  </si>
  <si>
    <t>copper revenue after TC/RC in A$</t>
  </si>
  <si>
    <t>gold revenue after TC/RC in A$</t>
  </si>
  <si>
    <t>silver revenue after TC/RC in A$</t>
  </si>
  <si>
    <t>moly revenue in A$</t>
  </si>
  <si>
    <t>comprising: -</t>
  </si>
  <si>
    <t>Revenue in A$</t>
  </si>
  <si>
    <r>
      <t xml:space="preserve">Net Smelter Return "NSR" </t>
    </r>
    <r>
      <rPr>
        <sz val="10"/>
        <color theme="1"/>
        <rFont val="Calibri"/>
        <family val="2"/>
        <scheme val="minor"/>
      </rPr>
      <t>in A$</t>
    </r>
  </si>
  <si>
    <r>
      <t>Royalties</t>
    </r>
    <r>
      <rPr>
        <sz val="14"/>
        <color rgb="FFFF0000"/>
        <rFont val="Calibri"/>
        <family val="2"/>
        <scheme val="minor"/>
      </rPr>
      <t xml:space="preserve"> - State</t>
    </r>
  </si>
  <si>
    <r>
      <t xml:space="preserve">Income Tax </t>
    </r>
    <r>
      <rPr>
        <sz val="14"/>
        <color rgb="FFFF0000"/>
        <rFont val="Calibri"/>
        <family val="2"/>
        <scheme val="minor"/>
      </rPr>
      <t>- National</t>
    </r>
  </si>
  <si>
    <t>Royalties State</t>
  </si>
  <si>
    <t>Income Tax - National</t>
  </si>
  <si>
    <t>Discount Rate for copper mining in host country</t>
  </si>
  <si>
    <t>Royalties &amp; Income Tax in A$</t>
  </si>
  <si>
    <t>US$ million</t>
  </si>
  <si>
    <t>A$Real/ tonne milled</t>
  </si>
  <si>
    <t>A$millions Real</t>
  </si>
  <si>
    <t>Log of changes - Mid Case</t>
  </si>
  <si>
    <t>Date</t>
  </si>
  <si>
    <t>Change</t>
  </si>
  <si>
    <t>Start</t>
  </si>
  <si>
    <t>Commencing configuration of the business</t>
  </si>
  <si>
    <t>Electricity Costs</t>
  </si>
  <si>
    <t>Electricity decreased from A$0.13 to A$0.09 /kWh</t>
  </si>
  <si>
    <t>Initial Capex</t>
  </si>
  <si>
    <t>Initial capex increased from A$733M to A$863M</t>
  </si>
  <si>
    <t xml:space="preserve">Head grade Alpha Pit </t>
  </si>
  <si>
    <t>Copper head grade increased from 0.55% to 0.70% Cu</t>
  </si>
  <si>
    <t>Gold recovery increased from 60% to 77%</t>
  </si>
  <si>
    <t>Copper recovery reduced from 92% to 88%</t>
  </si>
  <si>
    <t xml:space="preserve">Mining Costs </t>
  </si>
  <si>
    <t>increased waste in Beta Pit from A$2.45 to A$2.85/dry metric tonne in base year</t>
  </si>
  <si>
    <t>increased waste in Alpha Pit from A$2.20 to A$2.60/dry metric tonne in base year</t>
  </si>
  <si>
    <t>Item</t>
  </si>
  <si>
    <t>As is common, this company works its accounts and valuations in US$'s but the mine is in another country. (Here it is in Australia)</t>
  </si>
  <si>
    <t>Low Case</t>
  </si>
  <si>
    <t>External Parameters for  Low Case</t>
  </si>
  <si>
    <t>High Case</t>
  </si>
  <si>
    <t>External Parameters for  High Case</t>
  </si>
  <si>
    <t>A$ Exchange Rate</t>
  </si>
  <si>
    <t>Decreased from US$0.80 to US$0.78</t>
  </si>
  <si>
    <t xml:space="preserve">Copper price </t>
  </si>
  <si>
    <t>Decreased to US$2.80/lb</t>
  </si>
  <si>
    <t>gold revenue after RC</t>
  </si>
  <si>
    <t>silver revenue after RC</t>
  </si>
  <si>
    <t>Indirects &amp; Contingency</t>
  </si>
  <si>
    <t>erosion of tax deductions by inflation</t>
  </si>
  <si>
    <t>Tax deductions for Capital Expenditure  ("tax depreciation")</t>
  </si>
  <si>
    <t>getting things into perspective!</t>
  </si>
  <si>
    <t>Prestrip</t>
  </si>
  <si>
    <t>Deductions for prestrip available</t>
  </si>
  <si>
    <t>Mine &amp; Mineral Processing</t>
  </si>
  <si>
    <t>Tax Deduction for mine &amp; mineral processing</t>
  </si>
  <si>
    <t>check</t>
  </si>
  <si>
    <t>Undeducted PAST capex - opening balance</t>
  </si>
  <si>
    <t>A$ million Nominal = Real</t>
  </si>
  <si>
    <t>deductions avail for mine &amp; mineral proc - step 1</t>
  </si>
  <si>
    <t>deductions avail for mine &amp; mineral proc - step 2</t>
  </si>
  <si>
    <t>deductions avail for other &amp; ongoing capex - step 2</t>
  </si>
  <si>
    <t>deductions avail for other &amp; ongoing capex -step 1</t>
  </si>
  <si>
    <t>A$ Real/dry tonne</t>
  </si>
  <si>
    <t>A$ million Real/annum</t>
  </si>
  <si>
    <t>A$ Real/ tonne</t>
  </si>
  <si>
    <t>labour rate incl overheads &amp; on costs</t>
  </si>
  <si>
    <t>distance to point of sale</t>
  </si>
  <si>
    <t>unloading - rate</t>
  </si>
  <si>
    <t>unloading costs</t>
  </si>
  <si>
    <t>Selecting the rate</t>
  </si>
  <si>
    <t>Stand Alone or Corporate?</t>
  </si>
  <si>
    <t>Check: total capex to be deducted</t>
  </si>
  <si>
    <t>Check: total NEW capex to be deducted</t>
  </si>
  <si>
    <t>Check: PAST capex to be deducted</t>
  </si>
  <si>
    <t>check --&gt;</t>
  </si>
  <si>
    <t>1. Prestrip</t>
  </si>
  <si>
    <t>2. Mine and Mineral Processing</t>
  </si>
  <si>
    <t>3. Other Capex incl ongoing capex</t>
  </si>
  <si>
    <t>Compute in Nominal terms</t>
  </si>
  <si>
    <t>Convert back to Real terms</t>
  </si>
  <si>
    <t>4. Total Deductions for Capex</t>
  </si>
  <si>
    <t>5. Check:</t>
  </si>
  <si>
    <t>add assessable income</t>
  </si>
  <si>
    <t>assessable income if loss carried fwd - closing balance</t>
  </si>
  <si>
    <t>assessable income if loss carried fwd - opening balance</t>
  </si>
  <si>
    <t xml:space="preserve">Tax rate and Income tax </t>
  </si>
  <si>
    <t>Assessable Income</t>
  </si>
  <si>
    <t>Estimate of Probability</t>
  </si>
  <si>
    <t xml:space="preserve">Peter Card </t>
  </si>
  <si>
    <t>Read this first</t>
  </si>
  <si>
    <t xml:space="preserve">external peer </t>
  </si>
  <si>
    <t>Yet to be completed</t>
  </si>
  <si>
    <t>This worked example is an illustration. Assume it may have errors, has not been properly audited and should be checked before being used.</t>
  </si>
  <si>
    <t>Understanding the colours and layout is easy!</t>
  </si>
  <si>
    <t>1. Blue = Data Inputs: -</t>
  </si>
  <si>
    <t>Blue font means this is new input data.   (Every item of fresh input data is visually and obviously exposed in a cell.  Input data is never covertly entered into an algorithm.)</t>
  </si>
  <si>
    <t>13 Aug 2025  S White,  "Sales Plan  for Copper Operations to 2035"</t>
  </si>
  <si>
    <t>The source of this data - date, person and document - is clearly visible in the row immediately above. Not as a hidden cell note.</t>
  </si>
  <si>
    <t>Pink font means that this input needs checking</t>
  </si>
  <si>
    <t>2. Green = Data from other worksheets</t>
  </si>
  <si>
    <t>Green font means this row of items is referenced across from another Worksheet in this Workbook</t>
  </si>
  <si>
    <t>To reduce errors and to speed up worksheet construction, the entire Row is referenced across.  Not just the one cell needed.</t>
  </si>
  <si>
    <t>This will ensure that if a referenced cell is in Column F in the source Worksheet then it appears in the same Column (F) in this Worksheet.  (Important discipline for checking/auditing)</t>
  </si>
  <si>
    <t>Importantly, it means that if 2028 is in column F in one worksheet then it is in column F in every other worksheet  (Reduces errors)</t>
  </si>
  <si>
    <t>3. Black = Algorithms</t>
  </si>
  <si>
    <t xml:space="preserve">&lt;-- Black font means this is an algorithm.  </t>
  </si>
  <si>
    <t>4. Italics = nominal dollars</t>
  </si>
  <si>
    <t>This website uses italics for nominal terms data and vertical font for real terms data</t>
  </si>
  <si>
    <t>Worksheet Architecture</t>
  </si>
  <si>
    <r>
      <rPr>
        <b/>
        <sz val="10"/>
        <color theme="1"/>
        <rFont val="Calibri"/>
        <family val="2"/>
        <scheme val="minor"/>
      </rPr>
      <t>Cloumn A</t>
    </r>
    <r>
      <rPr>
        <sz val="10"/>
        <color theme="1"/>
        <rFont val="Calibri"/>
        <family val="2"/>
        <scheme val="minor"/>
      </rPr>
      <t xml:space="preserve"> is used for descriptors.  It is not left blank as an indent</t>
    </r>
  </si>
  <si>
    <r>
      <rPr>
        <b/>
        <sz val="10"/>
        <color theme="1"/>
        <rFont val="Calibri"/>
        <family val="2"/>
        <scheme val="minor"/>
      </rPr>
      <t>Column B</t>
    </r>
    <r>
      <rPr>
        <sz val="10"/>
        <color theme="1"/>
        <rFont val="Calibri"/>
        <family val="2"/>
        <scheme val="minor"/>
      </rPr>
      <t xml:space="preserve"> is used for units - which are in full words and not abbreviations "millions dry tonnes" not "Mdt"</t>
    </r>
  </si>
  <si>
    <r>
      <rPr>
        <b/>
        <sz val="10"/>
        <color theme="1"/>
        <rFont val="Calibri"/>
        <family val="2"/>
        <scheme val="minor"/>
      </rPr>
      <t>Column C</t>
    </r>
    <r>
      <rPr>
        <sz val="10"/>
        <color theme="1"/>
        <rFont val="Calibri"/>
        <family val="2"/>
        <scheme val="minor"/>
      </rPr>
      <t xml:space="preserve"> is for totals (and averages).  These must be completed as checks on input data and results</t>
    </r>
  </si>
  <si>
    <r>
      <rPr>
        <b/>
        <sz val="10"/>
        <color theme="1"/>
        <rFont val="Calibri"/>
        <family val="2"/>
        <scheme val="minor"/>
      </rPr>
      <t>Column D</t>
    </r>
    <r>
      <rPr>
        <sz val="10"/>
        <color theme="1"/>
        <rFont val="Calibri"/>
        <family val="2"/>
        <scheme val="minor"/>
      </rPr>
      <t xml:space="preserve"> is where the years, quarters, months begin --------&gt;</t>
    </r>
  </si>
  <si>
    <t xml:space="preserve">Even though this evaluation is long and detailed it remains easy to follow. </t>
  </si>
  <si>
    <t>It comprises three most important variations of the project - mid, high and low cases.</t>
  </si>
  <si>
    <t>It is very easy to change inputs to test different ideas- which are very important for a proper assessment.</t>
  </si>
  <si>
    <t>2025 10 21</t>
  </si>
  <si>
    <t>2025 10 31</t>
  </si>
  <si>
    <t>2025 11  05</t>
  </si>
  <si>
    <t>2025 11 16</t>
  </si>
  <si>
    <t>2025 11 23</t>
  </si>
  <si>
    <t>2025 11 24</t>
  </si>
  <si>
    <t>2025 11 26</t>
  </si>
  <si>
    <t>2025 11 27</t>
  </si>
  <si>
    <t>2025 11 30</t>
  </si>
  <si>
    <t>This worked example is an illustration. Assume it has not been properly audited and should be checked before being used.</t>
  </si>
  <si>
    <t>Summary of Results</t>
  </si>
  <si>
    <t>Net Present Value  'NPV'</t>
  </si>
  <si>
    <t>Probability weighted NPV</t>
  </si>
  <si>
    <t>Probability weighted NPV --&gt;</t>
  </si>
  <si>
    <t>Internal Rate of Return  'IRR'</t>
  </si>
  <si>
    <t>Probability weighted IRR</t>
  </si>
  <si>
    <t>Probability weighted IRR --&gt;</t>
  </si>
  <si>
    <t>copper conc - contained copper - mid case</t>
  </si>
  <si>
    <t>moly concentrate - contained moly - mid case</t>
  </si>
  <si>
    <t>Initial capex - mid case</t>
  </si>
  <si>
    <t>Opex plus Royalty less Credits - mid case</t>
  </si>
  <si>
    <t>Operating costs per lb/Cu</t>
  </si>
  <si>
    <t>Probability weighted Cashflow - life of mine--&gt;</t>
  </si>
  <si>
    <t>Production Year from Start up</t>
  </si>
  <si>
    <t>25 Nov 2025 S Mullah email of expected copper concentrate terms.  Pay the lesser of: 1.an absolute deduction of 1% Cu or 2. a percentage deduction of contained copper according to Cu assay.  (Can research on Internet)</t>
  </si>
  <si>
    <t>25 Nov 2025 S Mullah email: gold content less than or equal to 1 gram/dmt, no payment applies.  For gold content above 1 g/dmt up to 3g/dmt buyer pays for 90% of the agreed gold content.  Sliding scale for gold content above 3 g/dmt.</t>
  </si>
  <si>
    <t xml:space="preserve">25 Nov 2025 S Mullah email: Buyer shall pay for 90% of the final silver content, subject to a minimum deduction of 30 g per DMT, at the London Silver Spot/US Cents Quotation.
</t>
  </si>
  <si>
    <t>28 Nov 2025 M McKenzie email: Mo concentrate price = 83% of contained Mo.   (varies between 80% and 85%)</t>
  </si>
  <si>
    <t>2025 10 31 State Minerals &amp; Metals Royalty website: Lists royalties for all metals.  Gold, silver and molybdenum are based on revenue at minesite.  (not after product logistics)</t>
  </si>
  <si>
    <t>2025 10 31 State Royalty website: Royalties are designed to encourage copper concentrate to be processed into metal locally.  Royalties for copper concentrates depend on metal prices on LME in Real terms and are levied at point of sale after product logistics.</t>
  </si>
  <si>
    <t>2 December 2025: National Taxation Office website : Zero taxation on first A$3 million assessable income then 25%</t>
  </si>
  <si>
    <t>23 Nov 2025 F Daley advised that the discount  rate for copper mining in Australia is 8% real.  Company policy is to assess country risk separately and not to use a country risk premium.</t>
  </si>
  <si>
    <t>Costs</t>
  </si>
  <si>
    <t>Cashflows</t>
  </si>
  <si>
    <t>Results in Graphic Form</t>
  </si>
  <si>
    <t>Ecnomic Evaluation Metrics</t>
  </si>
  <si>
    <t>Cumuative Cash Generation</t>
  </si>
  <si>
    <t>Results of a Detailed Evaluation</t>
  </si>
  <si>
    <t>2025 10 21 Peter Card: Read the website module on this activity.  Focus on the key drivers of revenue such as throughput, head grade, recovery, sales volumes and of course, price/exchange rate.  Do not get lost in elaborate detail on minor items.  Use a helicopter view.</t>
  </si>
  <si>
    <t>12 Nov 2025 S Sadi  Excel workbook of mining  giving the three cases.  (P Card: The head grades normally would vary from year to year but here has been held flat to make this worked example easier to quickly follow.)</t>
  </si>
  <si>
    <t>12 Nov 2025 S Sadi - assume 6 weeks working stocks of ore for blending.  (Use the following year's throughput to have proper stocks in first year and to have zero stocks on cessation.)</t>
  </si>
  <si>
    <t>1 Nov 2025 F Williams: Processing metallurgists' workbook of processing  giving the three cases.  (assume minor movements in head grade from year to year because of ore in stockpiles will be immaterial and cancelled out over life of mine.)</t>
  </si>
  <si>
    <t xml:space="preserve">1 Nov 2025 F Williams: Processing metallurgists' workbook of processing  </t>
  </si>
  <si>
    <t xml:space="preserve">2025 11 20 P  Card: You can choose whether to include the cost of product logistics up here as a deduction from revenue OR down below in the operating costs.  Find out what your company/industry usually does. </t>
  </si>
  <si>
    <t>2025 10 10 R Gali: assume payment after 30 days.</t>
  </si>
  <si>
    <t>2025 11 3 M Ramero: Report of capex estimates dated 30/10/2025.  IMPORTANT: This is the cash expenditure rather than the commitments to contracts - which would be earlier.</t>
  </si>
  <si>
    <t>2025 11 3 M Ramero: Report of capex estimates dated 30/10/2025</t>
  </si>
  <si>
    <t>2025 12 5 D Marcelo: email of the Company's forecast of inflation rate</t>
  </si>
  <si>
    <t>2025 10 23 T Braga - Tax Specialist:  Mine and mineral processing capex is predominantly deducted over 5 years with balance mainly over 10 years.  Assume an weighted average of 18% straight line and so use double this rate for a pool of diminishing value --&gt; 18%*2 = 36%.</t>
  </si>
  <si>
    <t>2025 10 23 T Braga:  Unclaimed deductions for past capex have an opening balance of A$3 million.</t>
  </si>
  <si>
    <t>2025 10 23 T Braga - Tax Specialist:  Other capex and ongoing capex is predominantly deducted over 10 years with balance mainly over 5 years.  Assume an weighted average of 9% straight line and so use double this rate for a pool of diminishing value --&gt; 9%*2 = 18%.</t>
  </si>
  <si>
    <t>2025 10 23 T Braga:  Unclaimed deductions for past capex have an opening balance of A$13 million.</t>
  </si>
  <si>
    <t>2025 11 15  R Contadora Report "2025/11 Mining Estimates" on mining costs estimates.</t>
  </si>
  <si>
    <t>2025 11 15  R Contadora Report "2025/11 Mining Estimates" on mining costs estimates.  Close to a full complement of staff and services will be commissioned from when prestrip begins to prepare the mine for commercial production.</t>
  </si>
  <si>
    <t>2025 11 01  R Flexora "Report on Processing Costs Estimates  2025/28".</t>
  </si>
  <si>
    <t>2025 11 01  R Flexora report on processing costs estimates.</t>
  </si>
  <si>
    <t>2025 11 12/15  B Froome series of emails of the components of the G&amp;A.</t>
  </si>
  <si>
    <t>2025 11 18  B Froome emails of electricity consumption in G&amp;A</t>
  </si>
  <si>
    <t>2025 10 22 F Smith final report of office and admin costs</t>
  </si>
  <si>
    <t>2025 11 22  P Card: Only include head office costs that are incremental and solely due to this mine's business.</t>
  </si>
  <si>
    <t>2025 11 02 email P Pascalli: Rehab estimated at $0.30/t waste and $1.10/t ore over LOM</t>
  </si>
  <si>
    <t>2025 11 02 email P Pascalli: closure will start two years before last production and extend as a tail for 15 years after last production, but can be approximated by a lump sum in the last year of production.</t>
  </si>
  <si>
    <t>2025 11 23 T Montfoire: Report 2025/13: Summary of product logistic costs for concentrates.</t>
  </si>
  <si>
    <t>Cash Generation</t>
  </si>
  <si>
    <t>Internal Rate of Return</t>
  </si>
  <si>
    <t>Discounting &amp; Net Present Value</t>
  </si>
  <si>
    <t>2025 11 23 P Carden: No information so assume 9 weeks of product stocks before ownership taken by buyer</t>
  </si>
  <si>
    <t>2025 11 23 P Carden: No informtion so assume 12 weeks of product stocks before ownership taken by buyer</t>
  </si>
  <si>
    <t>2025 10 21 : Read the website module on this activity.  It very easy to get into hundreds of rows of unnecessary detail here because Excel is so amenable to elaborate computations and it makes you feel good when lots of highly detailed computations work well! (Those big triangles of straight line deductions over the years are usually a sign you have lost perspective.)</t>
  </si>
  <si>
    <t>2025 10 21 : Remember you are not completing an income tax return.  It is more important for you to focus on the production, sales, prices/exchange rates and key cost drivers &lt;-- This is where value is gained or lost.  Instead here you can make a few broad groupings and usually use diminishing value pools to get sufficient deductions.</t>
  </si>
  <si>
    <t>2025 10 21 : All these tax deduction computations do is spread the capex over the years.  In Canada is is all upfront, in many countries it is related to the production and useable life (like accounting deductions) but in too many countries it is a jumble (like Australia).</t>
  </si>
  <si>
    <t>2025 10 21 : If you use an approximation method (such as grouping into diminishing value pools) is to have the same nominal deductions made over the life but have the distribution a bit different - an error in one year translates into  a offset by an opposite error in another year and is reduced to the tax rate of say 25% to 30%.  The impact on NPV usually is minor compared with the forecasts of price, exchange rate, sales, production, capex and opex!</t>
  </si>
  <si>
    <t>2025 10 21 : In most countries accounting deductions for capex are different to tax deductions - Accounting deductions are more logical whilst tax deductions can be political.</t>
  </si>
  <si>
    <t>2025 10 21 : These computations are in A$'s because they are needed below for the income tax payable in Australia.</t>
  </si>
  <si>
    <t>2025 10 21 :  These deductions need to be computed in NOMINAL terms to incorporate the erosion of inflation, then converted  back to REAL terms.</t>
  </si>
  <si>
    <t xml:space="preserve">2016 11 3 Often some "operating costs" are included in the list of "capital costs".  It may be better to leave them here so others can recognise the estimate, or you  can choose to move them down into operating costs below.  Either way is OK as long as the tax is corect - or the impact is unimportant.  </t>
  </si>
  <si>
    <t xml:space="preserve">2016 11 3 Interest on capex is not included because it is financing and so included in the discount rate. </t>
  </si>
  <si>
    <t>2025 10 21 The tax office website says that prestrip is treated as an operating cost and so immediately tax deductible in Australia.</t>
  </si>
  <si>
    <t>deductions available - diminishing value method  (Nominal Terms)</t>
  </si>
  <si>
    <r>
      <t xml:space="preserve">deductions for capex incl prestrip - available  </t>
    </r>
    <r>
      <rPr>
        <sz val="11"/>
        <color theme="1"/>
        <rFont val="Calibri"/>
        <family val="2"/>
        <scheme val="minor"/>
      </rPr>
      <t>(Real terms)</t>
    </r>
  </si>
  <si>
    <t>So the impact on NPV of the erosion of tax deductions by inflation is this above amount. After being multiplied by the tax rate and discounted by a number of years, it should be relatively minor!</t>
  </si>
  <si>
    <t>Read the website module on this activity.  Focus on the key drivers.  Split them into variable and fixed components.  Do not get lost in elaborate detail on minor items.  Use a helicopter view.</t>
  </si>
  <si>
    <t>The inclusion of exploration and geotech in an evaluation is tricky - It seems reasonable to include the costs of unavoidable in-fill drilling and exploration that is required within the known deposit areas to prepare it for mining?  Use a lead time of two years.</t>
  </si>
  <si>
    <t>A common practice is to exclude brownfields and greenfields exploration that hopefully would increase the resources.  This would be treated as a separate, add-on option value with a probability of success which could become negative or positive.</t>
  </si>
  <si>
    <t xml:space="preserve">You can choose whether to include the cost of product logistics down here in the operating costs or deduct them from the revenue above.  Find out what your company/industry usually does. </t>
  </si>
  <si>
    <t>The Royalties and income taxes are paid in Australia in Australian dollars so the computation normally should be performed in A$'s.  Of course the royalty rate references to US$ prices on the LME so this part must be in US$ terms.</t>
  </si>
  <si>
    <t xml:space="preserve">Refer to the website "www.economicevaluation.com.au"  for Level 1 hands-on modelling of income tax.  </t>
  </si>
  <si>
    <t xml:space="preserve">Income tax is a 'follower' rather than a major driver of value so keep its calculation 'fit for purpose'.  Do not have many, many rows of computation so as to be exact and precise if a far coarser level of computation will give very close to the same.  </t>
  </si>
  <si>
    <t>Operating costs usually are an appropriate proxy for 'cost of goods sold'.  The 'error' in one year will be largely offset by the 'error' in the next year.</t>
  </si>
  <si>
    <t>Usually the computation is OK in Real Terms rather than Nominal Terms - especially if the deductions for capex have been converted into and computed in Nominal Terms and then converted back to Real Terms to account for the erosive impact of inflation.  (Some countries have a step in income tax rates as assessable income increases - first reaction is this means computations should be in Nominal Terms, but second reaction is to do in Real terms because the country may adjust these rates in later years.)</t>
  </si>
  <si>
    <t>This is not 'Profit' - which is a very different concept.  See the website modules on tax and accounting.</t>
  </si>
  <si>
    <t>"Tax Losses" - Evaluations can be computed two ways: Stand Alone where any negative assessable income has to be rolled forward  OR  Corporate where any negative assessable income can be used against other positive assessable income elsewhere in the company.</t>
  </si>
  <si>
    <t>"Outside Corporate Tax Losses" - You cannot use tax losses in other parts of the Company to benefit this project unless there is no other way of using up those tax losses.</t>
  </si>
  <si>
    <t>"Stand Alone" - let's assume that for this project that any negative assessable income cannot be claimed immediately by the Company against income elsewhere but must be carried forward.</t>
  </si>
  <si>
    <t>This project has accumulated negative income (tax lossess) that has not yet been deducted of A$23M - which is in addition to the undeducted capex being claimed in the Capex section above.</t>
  </si>
  <si>
    <t>Assume the $3 million threshold will be increased over the years and remain about $3 million Real in 2016 terms</t>
  </si>
  <si>
    <t>Warning: If anyone tries to claim that NPV can be materially increased by using debt financing they possibly do not understand financial theory well enough.  The discount might adjust to largely offset.</t>
  </si>
  <si>
    <t>Forex: A$ = US$  - Low Case</t>
  </si>
  <si>
    <t>Copper price forecast - Low Case</t>
  </si>
  <si>
    <t>Gold price forecast - Low Case</t>
  </si>
  <si>
    <t>Silver price forecast - Low Case</t>
  </si>
  <si>
    <t>Moly price forecast - Low Case</t>
  </si>
  <si>
    <t>copper conc - treatment terms - Low Case</t>
  </si>
  <si>
    <t>copper conc - copper refining charges - Low Case</t>
  </si>
  <si>
    <t>copper conc - gold refining charges - Low Case</t>
  </si>
  <si>
    <t>copper conc - silver refining charges - Low Case</t>
  </si>
  <si>
    <t>copper conc - contained copper - Low Case</t>
  </si>
  <si>
    <t>moly concentrate - contained moly - Low Case</t>
  </si>
  <si>
    <t>Initial capex - Low Case</t>
  </si>
  <si>
    <t>Opex plus Royalty less Credits - Low Case</t>
  </si>
  <si>
    <t>Forex: A$ = US$  - High Case</t>
  </si>
  <si>
    <t>Copper price forecast - High Case</t>
  </si>
  <si>
    <t>Gold price forecast - High Case</t>
  </si>
  <si>
    <t>Silver price forecast - High Case</t>
  </si>
  <si>
    <t>Moly price forecast - High Case</t>
  </si>
  <si>
    <t>copper conc - treatment terms - High Case</t>
  </si>
  <si>
    <t>copper conc - copper refining charges - High Case</t>
  </si>
  <si>
    <t>copper conc - gold refining charges - High Case</t>
  </si>
  <si>
    <t>copper conc - silver refining charges - High Case</t>
  </si>
  <si>
    <t>copper conc - contained copper - High Case</t>
  </si>
  <si>
    <t>moly concentrate - contained moly - High Case</t>
  </si>
  <si>
    <t>Initial capex - High Case</t>
  </si>
  <si>
    <t>Opex plus Royalty less Credits - High Case</t>
  </si>
  <si>
    <t>Cash Generation - life of mine</t>
  </si>
  <si>
    <t>Metal Prices, Forex and Copper Concentrate - TC and RC's</t>
  </si>
  <si>
    <t>These three vary between cases and so are entered at the top of each case</t>
  </si>
  <si>
    <r>
      <rPr>
        <sz val="14"/>
        <color rgb="FF0033CC"/>
        <rFont val="Arial"/>
        <family val="2"/>
      </rPr>
      <t xml:space="preserve">Worked Example </t>
    </r>
    <r>
      <rPr>
        <b/>
        <sz val="14"/>
        <color rgb="FF0033CC"/>
        <rFont val="Arial"/>
        <family val="2"/>
      </rPr>
      <t>-</t>
    </r>
    <r>
      <rPr>
        <b/>
        <sz val="16"/>
        <color rgb="FF0033CC"/>
        <rFont val="Arial"/>
        <family val="2"/>
      </rPr>
      <t xml:space="preserve"> Long &amp; Detailed Business Evaluation - </t>
    </r>
    <r>
      <rPr>
        <sz val="12"/>
        <color rgb="FF0033CC"/>
        <rFont val="Arial"/>
        <family val="2"/>
      </rPr>
      <t>www.economicevaluation.com.au</t>
    </r>
  </si>
  <si>
    <t>This worked example illustrates an advanced assessment of a project as is described in the website www.econonomicevaluation.com.au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</si>
</sst>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
    <numFmt numFmtId="165" formatCode="0.0"/>
    <numFmt numFmtId="166" formatCode="#,##0.0"/>
    <numFmt numFmtId="167" formatCode="0.000%"/>
    <numFmt numFmtId="168" formatCode="#,##0.000"/>
    <numFmt numFmtId="169" formatCode="_-* #,##0_-;\-* #,##0_-;_-* &quot;-&quot;??_-;_-@_-"/>
  </numFmts>
  <fonts count="99">
    <font>
      <sz val="11"/>
      <color theme="1"/>
      <name val="Calibri"/>
      <family val="2"/>
      <scheme val="minor"/>
    </font>
    <font>
      <sz val="10"/>
      <color indexed="12"/>
      <name val="Arial"/>
      <family val="2"/>
    </font>
    <font>
      <sz val="11"/>
      <color theme="1"/>
      <name val="Calibri"/>
      <family val="2"/>
      <scheme val="minor"/>
    </font>
    <font>
      <b/>
      <sz val="11"/>
      <color theme="1"/>
      <name val="Calibri"/>
      <family val="2"/>
      <scheme val="minor"/>
    </font>
    <font>
      <b/>
      <sz val="11"/>
      <color rgb="FFFF0000"/>
      <name val="Calibri"/>
      <family val="2"/>
      <scheme val="minor"/>
    </font>
    <font>
      <sz val="10"/>
      <color rgb="FF0033CC"/>
      <name val="Arial"/>
      <family val="2"/>
    </font>
    <font>
      <b/>
      <sz val="16"/>
      <color theme="1"/>
      <name val="Calibri"/>
      <family val="2"/>
      <scheme val="minor"/>
    </font>
    <font>
      <b/>
      <sz val="12"/>
      <color theme="1"/>
      <name val="Calibri"/>
      <family val="2"/>
      <scheme val="minor"/>
    </font>
    <font>
      <b/>
      <sz val="14"/>
      <color theme="1"/>
      <name val="Calibri"/>
      <family val="2"/>
      <scheme val="minor"/>
    </font>
    <font>
      <b/>
      <sz val="12"/>
      <color rgb="FF008000"/>
      <name val="Calibri"/>
      <family val="2"/>
      <scheme val="minor"/>
    </font>
    <font>
      <sz val="12"/>
      <color theme="1"/>
      <name val="Calibri"/>
      <family val="2"/>
      <scheme val="minor"/>
    </font>
    <font>
      <b/>
      <sz val="20"/>
      <color rgb="FFFF0000"/>
      <name val="Calibri"/>
      <family val="2"/>
      <scheme val="minor"/>
    </font>
    <font>
      <sz val="14"/>
      <color theme="1"/>
      <name val="Calibri"/>
      <family val="2"/>
      <scheme val="minor"/>
    </font>
    <font>
      <b/>
      <sz val="18"/>
      <color rgb="FFFF0000"/>
      <name val="Calibri"/>
      <family val="2"/>
      <scheme val="minor"/>
    </font>
    <font>
      <b/>
      <sz val="14"/>
      <color rgb="FFFF0000"/>
      <name val="Calibri"/>
      <family val="2"/>
      <scheme val="minor"/>
    </font>
    <font>
      <sz val="10"/>
      <color theme="1"/>
      <name val="Calibri"/>
      <family val="2"/>
      <scheme val="minor"/>
    </font>
    <font>
      <b/>
      <sz val="10"/>
      <color rgb="FFFF00FF"/>
      <name val="Calibri"/>
      <family val="2"/>
      <scheme val="minor"/>
    </font>
    <font>
      <u/>
      <sz val="11"/>
      <color theme="10"/>
      <name val="Calibri"/>
      <family val="2"/>
      <scheme val="minor"/>
    </font>
    <font>
      <b/>
      <sz val="10"/>
      <color theme="1"/>
      <name val="Calibri"/>
      <family val="2"/>
      <scheme val="minor"/>
    </font>
    <font>
      <b/>
      <sz val="10"/>
      <color rgb="FF0070C0"/>
      <name val="Calibri"/>
      <family val="2"/>
      <scheme val="minor"/>
    </font>
    <font>
      <b/>
      <sz val="10"/>
      <color rgb="FF008000"/>
      <name val="Calibri"/>
      <family val="2"/>
      <scheme val="minor"/>
    </font>
    <font>
      <b/>
      <sz val="12"/>
      <color rgb="FF0033CC"/>
      <name val="Calibri"/>
      <family val="2"/>
      <scheme val="minor"/>
    </font>
    <font>
      <sz val="11"/>
      <color rgb="FFFF0000"/>
      <name val="Calibri"/>
      <family val="2"/>
      <scheme val="minor"/>
    </font>
    <font>
      <b/>
      <sz val="16"/>
      <color rgb="FFFF0000"/>
      <name val="Calibri"/>
      <family val="2"/>
      <scheme val="minor"/>
    </font>
    <font>
      <sz val="10"/>
      <name val="Frutiger 55 Roman"/>
      <family val="2"/>
    </font>
    <font>
      <sz val="12"/>
      <color rgb="FF0033CC"/>
      <name val="Calibri"/>
      <family val="2"/>
      <scheme val="minor"/>
    </font>
    <font>
      <b/>
      <sz val="11"/>
      <name val="Calibri"/>
      <family val="2"/>
      <scheme val="minor"/>
    </font>
    <font>
      <sz val="12"/>
      <color rgb="FF008000"/>
      <name val="Calibri"/>
      <family val="2"/>
      <scheme val="minor"/>
    </font>
    <font>
      <b/>
      <sz val="12"/>
      <color rgb="FFFF0000"/>
      <name val="Calibri"/>
      <family val="2"/>
      <scheme val="minor"/>
    </font>
    <font>
      <b/>
      <sz val="10"/>
      <name val="Calibri"/>
      <family val="2"/>
      <scheme val="minor"/>
    </font>
    <font>
      <b/>
      <sz val="11"/>
      <color rgb="FF00B050"/>
      <name val="Calibri"/>
      <family val="2"/>
      <scheme val="minor"/>
    </font>
    <font>
      <sz val="10"/>
      <color rgb="FF00B050"/>
      <name val="Calibri"/>
      <family val="2"/>
      <scheme val="minor"/>
    </font>
    <font>
      <b/>
      <sz val="10"/>
      <color rgb="FFFF0000"/>
      <name val="Calibri"/>
      <family val="2"/>
      <scheme val="minor"/>
    </font>
    <font>
      <sz val="10"/>
      <color theme="0" tint="-0.249977111117893"/>
      <name val="Calibri"/>
      <family val="2"/>
      <scheme val="minor"/>
    </font>
    <font>
      <b/>
      <sz val="10"/>
      <color theme="9" tint="0.59999389629810485"/>
      <name val="Calibri"/>
      <family val="2"/>
      <scheme val="minor"/>
    </font>
    <font>
      <sz val="10"/>
      <color rgb="FFFF00FF"/>
      <name val="Calibri"/>
      <family val="2"/>
      <scheme val="minor"/>
    </font>
    <font>
      <sz val="10"/>
      <color rgb="FF008000"/>
      <name val="Calibri"/>
      <family val="2"/>
      <scheme val="minor"/>
    </font>
    <font>
      <sz val="10"/>
      <color rgb="FF0070C0"/>
      <name val="Calibri"/>
      <family val="2"/>
      <scheme val="minor"/>
    </font>
    <font>
      <b/>
      <sz val="10"/>
      <color rgb="FF0033CC"/>
      <name val="Calibri"/>
      <family val="2"/>
      <scheme val="minor"/>
    </font>
    <font>
      <sz val="10"/>
      <color rgb="FF0033CC"/>
      <name val="Calibri"/>
      <family val="2"/>
      <scheme val="minor"/>
    </font>
    <font>
      <sz val="10"/>
      <color rgb="FFFF33CC"/>
      <name val="Calibri"/>
      <family val="2"/>
      <scheme val="minor"/>
    </font>
    <font>
      <b/>
      <sz val="10"/>
      <color rgb="FFFF33CC"/>
      <name val="Calibri"/>
      <family val="2"/>
      <scheme val="minor"/>
    </font>
    <font>
      <sz val="10"/>
      <color rgb="FFFF0000"/>
      <name val="Calibri"/>
      <family val="2"/>
      <scheme val="minor"/>
    </font>
    <font>
      <sz val="10"/>
      <name val="Calibri"/>
      <family val="2"/>
      <scheme val="minor"/>
    </font>
    <font>
      <sz val="10"/>
      <color theme="6" tint="-0.499984740745262"/>
      <name val="Calibri"/>
      <family val="2"/>
      <scheme val="minor"/>
    </font>
    <font>
      <sz val="12"/>
      <color rgb="FFFF0000"/>
      <name val="Calibri"/>
      <family val="2"/>
      <scheme val="minor"/>
    </font>
    <font>
      <sz val="18"/>
      <color rgb="FFFF33CC"/>
      <name val="Calibri"/>
      <family val="2"/>
      <scheme val="minor"/>
    </font>
    <font>
      <b/>
      <sz val="18"/>
      <color rgb="FFFF33CC"/>
      <name val="Calibri"/>
      <family val="2"/>
      <scheme val="minor"/>
    </font>
    <font>
      <sz val="10"/>
      <color rgb="FF37E600"/>
      <name val="Calibri"/>
      <family val="2"/>
      <scheme val="minor"/>
    </font>
    <font>
      <b/>
      <sz val="10"/>
      <color rgb="FF37E600"/>
      <name val="Calibri"/>
      <family val="2"/>
      <scheme val="minor"/>
    </font>
    <font>
      <b/>
      <sz val="10"/>
      <color rgb="FFFFCC66"/>
      <name val="Calibri"/>
      <family val="2"/>
      <scheme val="minor"/>
    </font>
    <font>
      <b/>
      <sz val="10"/>
      <color theme="9" tint="-0.249977111117893"/>
      <name val="Calibri"/>
      <family val="2"/>
      <scheme val="minor"/>
    </font>
    <font>
      <b/>
      <sz val="14"/>
      <color rgb="FF37E600"/>
      <name val="Calibri"/>
      <family val="2"/>
      <scheme val="minor"/>
    </font>
    <font>
      <b/>
      <sz val="14"/>
      <color rgb="FFFF99FF"/>
      <name val="Calibri"/>
      <family val="2"/>
      <scheme val="minor"/>
    </font>
    <font>
      <b/>
      <sz val="16"/>
      <color rgb="FFFF99FF"/>
      <name val="Calibri"/>
      <family val="2"/>
      <scheme val="minor"/>
    </font>
    <font>
      <i/>
      <sz val="10"/>
      <color theme="1"/>
      <name val="Calibri"/>
      <family val="2"/>
      <scheme val="minor"/>
    </font>
    <font>
      <b/>
      <sz val="22"/>
      <color rgb="FFFF0000"/>
      <name val="Calibri"/>
      <family val="2"/>
      <scheme val="minor"/>
    </font>
    <font>
      <b/>
      <sz val="26"/>
      <color rgb="FFFF0000"/>
      <name val="Calibri"/>
      <family val="2"/>
      <scheme val="minor"/>
    </font>
    <font>
      <sz val="10"/>
      <color indexed="30"/>
      <name val="Calibri"/>
      <family val="2"/>
    </font>
    <font>
      <sz val="12"/>
      <name val="Calibri"/>
      <family val="2"/>
      <scheme val="minor"/>
    </font>
    <font>
      <sz val="14"/>
      <color rgb="FFFF0000"/>
      <name val="Calibri"/>
      <family val="2"/>
      <scheme val="minor"/>
    </font>
    <font>
      <sz val="9"/>
      <color theme="1"/>
      <name val="Calibri"/>
      <family val="2"/>
      <scheme val="minor"/>
    </font>
    <font>
      <b/>
      <sz val="14"/>
      <color rgb="FF0033CC"/>
      <name val="Calibri"/>
      <family val="2"/>
      <scheme val="minor"/>
    </font>
    <font>
      <b/>
      <sz val="10"/>
      <color indexed="10"/>
      <name val="Calibri"/>
      <family val="2"/>
    </font>
    <font>
      <b/>
      <sz val="14"/>
      <color rgb="FF00B050"/>
      <name val="Calibri"/>
      <family val="2"/>
      <scheme val="minor"/>
    </font>
    <font>
      <b/>
      <sz val="11"/>
      <color indexed="10"/>
      <name val="Calibri"/>
      <family val="2"/>
    </font>
    <font>
      <sz val="10"/>
      <name val="Arial"/>
      <family val="2"/>
    </font>
    <font>
      <sz val="12"/>
      <color indexed="12"/>
      <name val="Arial"/>
      <family val="2"/>
    </font>
    <font>
      <sz val="12"/>
      <color rgb="FF0033CC"/>
      <name val="Arial"/>
      <family val="2"/>
    </font>
    <font>
      <b/>
      <sz val="11"/>
      <color rgb="FF0070C0"/>
      <name val="Calibri"/>
      <family val="2"/>
      <scheme val="minor"/>
    </font>
    <font>
      <b/>
      <sz val="10"/>
      <color rgb="FF00B050"/>
      <name val="Calibri"/>
      <family val="2"/>
      <scheme val="minor"/>
    </font>
    <font>
      <b/>
      <i/>
      <sz val="11"/>
      <name val="Calibri"/>
      <family val="2"/>
      <scheme val="minor"/>
    </font>
    <font>
      <b/>
      <i/>
      <sz val="10"/>
      <name val="Calibri"/>
      <family val="2"/>
      <scheme val="minor"/>
    </font>
    <font>
      <b/>
      <sz val="16"/>
      <color rgb="FF00B050"/>
      <name val="Calibri"/>
      <family val="2"/>
      <scheme val="minor"/>
    </font>
    <font>
      <sz val="12"/>
      <color rgb="FFFF3399"/>
      <name val="Arial"/>
      <family val="2"/>
    </font>
    <font>
      <b/>
      <sz val="12"/>
      <name val="Calibri"/>
      <family val="2"/>
      <scheme val="minor"/>
    </font>
    <font>
      <sz val="12"/>
      <color theme="0" tint="-0.14999847407452621"/>
      <name val="Calibri"/>
      <family val="2"/>
      <scheme val="minor"/>
    </font>
    <font>
      <sz val="10"/>
      <color theme="9" tint="-0.499984740745262"/>
      <name val="Calibri"/>
      <family val="2"/>
      <scheme val="minor"/>
    </font>
    <font>
      <i/>
      <sz val="10"/>
      <color theme="9" tint="-0.499984740745262"/>
      <name val="Calibri"/>
      <family val="2"/>
      <scheme val="minor"/>
    </font>
    <font>
      <sz val="12"/>
      <color theme="9" tint="-0.499984740745262"/>
      <name val="Calibri"/>
      <family val="2"/>
      <scheme val="minor"/>
    </font>
    <font>
      <sz val="16"/>
      <color theme="9" tint="-0.499984740745262"/>
      <name val="Calibri"/>
      <family val="2"/>
      <scheme val="minor"/>
    </font>
    <font>
      <sz val="11"/>
      <color theme="9" tint="-0.499984740745262"/>
      <name val="Calibri"/>
      <family val="2"/>
      <scheme val="minor"/>
    </font>
    <font>
      <i/>
      <sz val="10"/>
      <name val="Calibri"/>
      <family val="2"/>
      <scheme val="minor"/>
    </font>
    <font>
      <i/>
      <sz val="10"/>
      <color rgb="FF0033CC"/>
      <name val="Calibri"/>
      <family val="2"/>
      <scheme val="minor"/>
    </font>
    <font>
      <b/>
      <sz val="11"/>
      <color rgb="FF0033CC"/>
      <name val="Calibri"/>
      <family val="2"/>
      <scheme val="minor"/>
    </font>
    <font>
      <b/>
      <i/>
      <sz val="11"/>
      <color rgb="FF0033CC"/>
      <name val="Calibri"/>
      <family val="2"/>
      <scheme val="minor"/>
    </font>
    <font>
      <b/>
      <i/>
      <sz val="12"/>
      <color rgb="FF0033CC"/>
      <name val="Calibri"/>
      <family val="2"/>
      <scheme val="minor"/>
    </font>
    <font>
      <sz val="10"/>
      <color theme="9" tint="-0.249977111117893"/>
      <name val="Calibri"/>
      <family val="2"/>
      <scheme val="minor"/>
    </font>
    <font>
      <b/>
      <sz val="14"/>
      <color rgb="FF008000"/>
      <name val="Calibri"/>
      <family val="2"/>
      <scheme val="minor"/>
    </font>
    <font>
      <sz val="11"/>
      <color rgb="FFFF00FF"/>
      <name val="Arial"/>
      <family val="2"/>
    </font>
    <font>
      <b/>
      <sz val="20"/>
      <color rgb="FF3399FF"/>
      <name val="Calibri"/>
      <family val="2"/>
      <scheme val="minor"/>
    </font>
    <font>
      <sz val="20"/>
      <color theme="1"/>
      <name val="Calibri"/>
      <family val="2"/>
      <scheme val="minor"/>
    </font>
    <font>
      <b/>
      <sz val="18"/>
      <color rgb="FF0070C0"/>
      <name val="Arial"/>
      <family val="2"/>
    </font>
    <font>
      <sz val="18"/>
      <color rgb="FF0070C0"/>
      <name val="Calibri"/>
      <family val="2"/>
      <scheme val="minor"/>
    </font>
    <font>
      <sz val="11"/>
      <color rgb="FF0070C0"/>
      <name val="Calibri"/>
      <family val="2"/>
      <scheme val="minor"/>
    </font>
    <font>
      <b/>
      <sz val="12"/>
      <color rgb="FFFF3399"/>
      <name val="Arial"/>
      <family val="2"/>
    </font>
    <font>
      <b/>
      <sz val="16"/>
      <color rgb="FF0033CC"/>
      <name val="Arial"/>
      <family val="2"/>
    </font>
    <font>
      <sz val="14"/>
      <color rgb="FF0033CC"/>
      <name val="Arial"/>
      <family val="2"/>
    </font>
    <font>
      <b/>
      <sz val="14"/>
      <color rgb="FF0033CC"/>
      <name val="Arial"/>
      <family val="2"/>
    </font>
  </fonts>
  <fills count="4">
    <fill>
      <patternFill patternType="none"/>
    </fill>
    <fill>
      <patternFill patternType="gray125"/>
    </fill>
    <fill>
      <patternFill patternType="solid">
        <fgColor rgb="FFF3FAFF"/>
        <bgColor indexed="64"/>
      </patternFill>
    </fill>
    <fill>
      <patternFill patternType="solid">
        <fgColor rgb="FFFFFF00"/>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9" fontId="2" fillId="0" borderId="0" applyFont="0" applyFill="0" applyBorder="0" applyAlignment="0" applyProtection="0"/>
    <xf numFmtId="0" fontId="17" fillId="0" borderId="0" applyNumberFormat="0" applyFill="0" applyBorder="0" applyAlignment="0" applyProtection="0"/>
    <xf numFmtId="0" fontId="24" fillId="0" borderId="0" applyNumberFormat="0" applyFont="0" applyFill="0" applyBorder="0" applyAlignment="0" applyProtection="0"/>
    <xf numFmtId="43" fontId="2" fillId="0" borderId="0" applyFont="0" applyFill="0" applyBorder="0" applyAlignment="0" applyProtection="0"/>
  </cellStyleXfs>
  <cellXfs count="359">
    <xf numFmtId="0" fontId="0" fillId="0" borderId="0" xfId="0"/>
    <xf numFmtId="0" fontId="4" fillId="0" borderId="0" xfId="0" applyFont="1"/>
    <xf numFmtId="0" fontId="0" fillId="0" borderId="0" xfId="0" applyAlignment="1">
      <alignment horizontal="center"/>
    </xf>
    <xf numFmtId="0" fontId="7" fillId="0" borderId="0" xfId="0" applyFont="1" applyAlignment="1">
      <alignment horizontal="center"/>
    </xf>
    <xf numFmtId="0" fontId="10" fillId="0" borderId="0" xfId="0" applyFont="1" applyAlignment="1">
      <alignment horizontal="center"/>
    </xf>
    <xf numFmtId="0" fontId="12" fillId="0" borderId="0" xfId="0" applyFont="1"/>
    <xf numFmtId="0" fontId="7" fillId="0" borderId="0" xfId="0" applyFont="1" applyAlignment="1">
      <alignment horizontal="center" vertical="center"/>
    </xf>
    <xf numFmtId="0" fontId="12" fillId="0" borderId="0" xfId="0" applyFont="1" applyAlignment="1">
      <alignment horizontal="center"/>
    </xf>
    <xf numFmtId="0" fontId="10" fillId="0" borderId="0" xfId="0" applyFont="1"/>
    <xf numFmtId="0" fontId="1" fillId="0" borderId="0" xfId="0" applyFont="1"/>
    <xf numFmtId="15" fontId="1" fillId="0" borderId="0" xfId="0" applyNumberFormat="1" applyFont="1"/>
    <xf numFmtId="0" fontId="1" fillId="0" borderId="0" xfId="0" applyFont="1" applyAlignment="1">
      <alignment horizontal="center"/>
    </xf>
    <xf numFmtId="15" fontId="5" fillId="0" borderId="0" xfId="0" applyNumberFormat="1" applyFont="1" applyAlignment="1">
      <alignment horizontal="center"/>
    </xf>
    <xf numFmtId="0" fontId="15" fillId="0" borderId="0" xfId="0" applyFont="1"/>
    <xf numFmtId="0" fontId="18" fillId="0" borderId="0" xfId="0" applyFont="1"/>
    <xf numFmtId="0" fontId="18" fillId="0" borderId="0" xfId="0" applyFont="1" applyAlignment="1">
      <alignment horizontal="center"/>
    </xf>
    <xf numFmtId="3" fontId="10" fillId="0" borderId="0" xfId="0" applyNumberFormat="1" applyFont="1"/>
    <xf numFmtId="0" fontId="14" fillId="0" borderId="0" xfId="0" applyFont="1"/>
    <xf numFmtId="0" fontId="0" fillId="0" borderId="0" xfId="0" applyAlignment="1">
      <alignment vertical="center"/>
    </xf>
    <xf numFmtId="3" fontId="10" fillId="0" borderId="0" xfId="0" applyNumberFormat="1" applyFont="1" applyAlignment="1">
      <alignment horizontal="center"/>
    </xf>
    <xf numFmtId="4" fontId="10" fillId="0" borderId="0" xfId="0" applyNumberFormat="1" applyFont="1" applyAlignment="1">
      <alignment horizontal="center"/>
    </xf>
    <xf numFmtId="0" fontId="13" fillId="0" borderId="0" xfId="0" applyFont="1" applyAlignment="1">
      <alignment vertical="center"/>
    </xf>
    <xf numFmtId="0" fontId="23" fillId="0" borderId="0" xfId="0" applyFont="1" applyAlignment="1">
      <alignment vertical="center"/>
    </xf>
    <xf numFmtId="0" fontId="14" fillId="0" borderId="0" xfId="0" applyFont="1" applyAlignment="1">
      <alignment vertical="center"/>
    </xf>
    <xf numFmtId="0" fontId="28" fillId="0" borderId="0" xfId="0" applyFont="1" applyAlignment="1">
      <alignment vertical="center"/>
    </xf>
    <xf numFmtId="0" fontId="12" fillId="0" borderId="0" xfId="0" applyFont="1" applyAlignment="1">
      <alignment vertical="center"/>
    </xf>
    <xf numFmtId="0" fontId="8" fillId="0" borderId="0" xfId="0" applyFont="1" applyAlignment="1">
      <alignment vertical="center"/>
    </xf>
    <xf numFmtId="3" fontId="8" fillId="0" borderId="0" xfId="0" applyNumberFormat="1" applyFont="1" applyAlignment="1">
      <alignment horizontal="center" vertical="center"/>
    </xf>
    <xf numFmtId="0" fontId="3" fillId="0" borderId="0" xfId="0" applyFont="1" applyAlignment="1">
      <alignment vertical="center"/>
    </xf>
    <xf numFmtId="3" fontId="3" fillId="0" borderId="0" xfId="0" applyNumberFormat="1" applyFont="1" applyAlignment="1">
      <alignment horizontal="center" vertical="center"/>
    </xf>
    <xf numFmtId="0" fontId="15" fillId="0" borderId="0" xfId="0" applyFont="1" applyAlignment="1">
      <alignment horizontal="center" vertical="center"/>
    </xf>
    <xf numFmtId="0" fontId="32" fillId="0" borderId="0" xfId="0" applyFont="1" applyAlignment="1">
      <alignment vertical="center"/>
    </xf>
    <xf numFmtId="0" fontId="15" fillId="0" borderId="0" xfId="0" applyFont="1" applyAlignment="1">
      <alignment vertical="center"/>
    </xf>
    <xf numFmtId="0" fontId="18" fillId="0" borderId="0" xfId="0" applyFont="1" applyAlignment="1">
      <alignment horizontal="center" vertical="center"/>
    </xf>
    <xf numFmtId="0" fontId="33" fillId="0" borderId="0" xfId="0" applyFont="1" applyAlignment="1">
      <alignment horizontal="center" vertical="center"/>
    </xf>
    <xf numFmtId="0" fontId="33" fillId="0" borderId="0" xfId="0" applyFont="1" applyAlignment="1">
      <alignment vertical="center"/>
    </xf>
    <xf numFmtId="0" fontId="34" fillId="0" borderId="0" xfId="0" applyFont="1"/>
    <xf numFmtId="164" fontId="18" fillId="0" borderId="0" xfId="1" applyNumberFormat="1" applyFont="1" applyAlignment="1">
      <alignment horizontal="center"/>
    </xf>
    <xf numFmtId="0" fontId="15" fillId="0" borderId="0" xfId="0" applyFont="1" applyAlignment="1">
      <alignment horizontal="center"/>
    </xf>
    <xf numFmtId="0" fontId="35" fillId="0" borderId="0" xfId="0" applyFont="1" applyAlignment="1">
      <alignment horizontal="center"/>
    </xf>
    <xf numFmtId="3" fontId="15" fillId="0" borderId="0" xfId="0" applyNumberFormat="1" applyFont="1" applyAlignment="1">
      <alignment horizontal="center" vertical="center"/>
    </xf>
    <xf numFmtId="0" fontId="37" fillId="0" borderId="0" xfId="0" applyFont="1"/>
    <xf numFmtId="3" fontId="15" fillId="0" borderId="0" xfId="0" applyNumberFormat="1" applyFont="1" applyAlignment="1">
      <alignment horizontal="center"/>
    </xf>
    <xf numFmtId="3" fontId="39" fillId="2" borderId="0" xfId="0" applyNumberFormat="1" applyFont="1" applyFill="1"/>
    <xf numFmtId="3" fontId="18" fillId="0" borderId="0" xfId="0" applyNumberFormat="1" applyFont="1" applyAlignment="1">
      <alignment horizontal="center"/>
    </xf>
    <xf numFmtId="3" fontId="15" fillId="0" borderId="0" xfId="0" applyNumberFormat="1" applyFont="1"/>
    <xf numFmtId="10" fontId="15" fillId="0" borderId="0" xfId="1" applyNumberFormat="1" applyFont="1" applyAlignment="1">
      <alignment horizontal="center"/>
    </xf>
    <xf numFmtId="164" fontId="15" fillId="0" borderId="0" xfId="1" applyNumberFormat="1" applyFont="1" applyAlignment="1">
      <alignment horizontal="center"/>
    </xf>
    <xf numFmtId="3" fontId="18" fillId="0" borderId="3" xfId="0" applyNumberFormat="1" applyFont="1" applyBorder="1" applyAlignment="1">
      <alignment horizontal="center"/>
    </xf>
    <xf numFmtId="0" fontId="42" fillId="0" borderId="0" xfId="0" applyFont="1"/>
    <xf numFmtId="0" fontId="32" fillId="0" borderId="0" xfId="0" applyFont="1"/>
    <xf numFmtId="9" fontId="15" fillId="0" borderId="0" xfId="1" applyFont="1" applyAlignment="1">
      <alignment horizontal="center"/>
    </xf>
    <xf numFmtId="0" fontId="35" fillId="0" borderId="0" xfId="0" applyFont="1"/>
    <xf numFmtId="3" fontId="16" fillId="0" borderId="0" xfId="0" applyNumberFormat="1" applyFont="1" applyAlignment="1">
      <alignment horizontal="center"/>
    </xf>
    <xf numFmtId="3" fontId="35" fillId="0" borderId="0" xfId="0" applyNumberFormat="1" applyFont="1" applyAlignment="1">
      <alignment horizontal="center"/>
    </xf>
    <xf numFmtId="3" fontId="18" fillId="0" borderId="2" xfId="0" applyNumberFormat="1" applyFont="1" applyBorder="1" applyAlignment="1">
      <alignment horizontal="center"/>
    </xf>
    <xf numFmtId="166" fontId="15" fillId="0" borderId="0" xfId="0" applyNumberFormat="1" applyFont="1" applyAlignment="1">
      <alignment horizontal="center"/>
    </xf>
    <xf numFmtId="4" fontId="15" fillId="0" borderId="0" xfId="0" applyNumberFormat="1" applyFont="1" applyAlignment="1">
      <alignment horizontal="center"/>
    </xf>
    <xf numFmtId="3" fontId="18" fillId="0" borderId="1" xfId="0" applyNumberFormat="1" applyFont="1" applyBorder="1" applyAlignment="1">
      <alignment horizontal="center"/>
    </xf>
    <xf numFmtId="3" fontId="18" fillId="0" borderId="0" xfId="0" applyNumberFormat="1" applyFont="1"/>
    <xf numFmtId="0" fontId="39" fillId="0" borderId="0" xfId="0" applyFont="1"/>
    <xf numFmtId="3" fontId="37" fillId="0" borderId="0" xfId="0" applyNumberFormat="1" applyFont="1" applyAlignment="1">
      <alignment horizontal="center"/>
    </xf>
    <xf numFmtId="3" fontId="37" fillId="0" borderId="0" xfId="0" applyNumberFormat="1" applyFont="1"/>
    <xf numFmtId="3" fontId="43" fillId="0" borderId="0" xfId="0" applyNumberFormat="1" applyFont="1"/>
    <xf numFmtId="3" fontId="43" fillId="0" borderId="0" xfId="0" applyNumberFormat="1" applyFont="1" applyAlignment="1">
      <alignment horizontal="center"/>
    </xf>
    <xf numFmtId="3" fontId="35" fillId="0" borderId="0" xfId="0" applyNumberFormat="1" applyFont="1"/>
    <xf numFmtId="166" fontId="18" fillId="0" borderId="0" xfId="0" applyNumberFormat="1" applyFont="1" applyAlignment="1">
      <alignment horizontal="center"/>
    </xf>
    <xf numFmtId="166" fontId="35" fillId="0" borderId="0" xfId="0" applyNumberFormat="1" applyFont="1" applyAlignment="1">
      <alignment horizontal="center"/>
    </xf>
    <xf numFmtId="166" fontId="18" fillId="0" borderId="2" xfId="0" applyNumberFormat="1" applyFont="1" applyBorder="1" applyAlignment="1">
      <alignment horizontal="center"/>
    </xf>
    <xf numFmtId="0" fontId="15" fillId="0" borderId="0" xfId="0" applyFont="1" applyAlignment="1">
      <alignment horizontal="left"/>
    </xf>
    <xf numFmtId="3" fontId="15" fillId="0" borderId="2" xfId="0" applyNumberFormat="1" applyFont="1" applyBorder="1" applyAlignment="1">
      <alignment horizontal="center"/>
    </xf>
    <xf numFmtId="3" fontId="40" fillId="0" borderId="0" xfId="0" applyNumberFormat="1" applyFont="1"/>
    <xf numFmtId="38" fontId="18" fillId="0" borderId="0" xfId="0" applyNumberFormat="1" applyFont="1"/>
    <xf numFmtId="38" fontId="15" fillId="0" borderId="0" xfId="0" applyNumberFormat="1" applyFont="1"/>
    <xf numFmtId="38" fontId="18" fillId="0" borderId="0" xfId="0" applyNumberFormat="1" applyFont="1" applyAlignment="1">
      <alignment horizontal="center"/>
    </xf>
    <xf numFmtId="3" fontId="15" fillId="0" borderId="0" xfId="0" applyNumberFormat="1" applyFont="1" applyAlignment="1">
      <alignment horizontal="right"/>
    </xf>
    <xf numFmtId="0" fontId="44" fillId="0" borderId="0" xfId="0" applyFont="1"/>
    <xf numFmtId="3" fontId="44" fillId="0" borderId="0" xfId="0" applyNumberFormat="1" applyFont="1" applyAlignment="1">
      <alignment horizontal="right"/>
    </xf>
    <xf numFmtId="0" fontId="44" fillId="0" borderId="0" xfId="0" applyFont="1" applyAlignment="1">
      <alignment horizontal="center"/>
    </xf>
    <xf numFmtId="168" fontId="15" fillId="0" borderId="0" xfId="0" applyNumberFormat="1" applyFont="1" applyAlignment="1">
      <alignment horizontal="center"/>
    </xf>
    <xf numFmtId="166" fontId="18" fillId="0" borderId="3" xfId="0" applyNumberFormat="1" applyFont="1" applyBorder="1" applyAlignment="1">
      <alignment horizontal="center"/>
    </xf>
    <xf numFmtId="0" fontId="45" fillId="0" borderId="0" xfId="0" applyFont="1"/>
    <xf numFmtId="3" fontId="7" fillId="0" borderId="0" xfId="0" applyNumberFormat="1" applyFont="1"/>
    <xf numFmtId="3" fontId="7" fillId="0" borderId="2" xfId="0" applyNumberFormat="1" applyFont="1" applyBorder="1" applyAlignment="1">
      <alignment horizontal="center"/>
    </xf>
    <xf numFmtId="38" fontId="6" fillId="0" borderId="1" xfId="0" applyNumberFormat="1" applyFont="1" applyBorder="1" applyAlignment="1">
      <alignment horizontal="center"/>
    </xf>
    <xf numFmtId="0" fontId="10" fillId="0" borderId="0" xfId="0" applyFont="1" applyAlignment="1">
      <alignment horizontal="center" vertical="center"/>
    </xf>
    <xf numFmtId="0" fontId="0" fillId="0" borderId="0" xfId="0" applyAlignment="1">
      <alignment horizontal="center" vertical="center"/>
    </xf>
    <xf numFmtId="4" fontId="18" fillId="0" borderId="0" xfId="0" applyNumberFormat="1" applyFont="1" applyAlignment="1">
      <alignment horizontal="center"/>
    </xf>
    <xf numFmtId="3" fontId="49" fillId="0" borderId="0" xfId="0" applyNumberFormat="1" applyFont="1" applyAlignment="1">
      <alignment horizontal="center"/>
    </xf>
    <xf numFmtId="166" fontId="49" fillId="0" borderId="0" xfId="0" applyNumberFormat="1" applyFont="1" applyAlignment="1">
      <alignment horizontal="center"/>
    </xf>
    <xf numFmtId="0" fontId="48" fillId="0" borderId="0" xfId="0" applyFont="1" applyAlignment="1">
      <alignment horizontal="right"/>
    </xf>
    <xf numFmtId="3" fontId="49" fillId="0" borderId="0" xfId="0" applyNumberFormat="1" applyFont="1" applyAlignment="1">
      <alignment horizontal="left"/>
    </xf>
    <xf numFmtId="3" fontId="50" fillId="0" borderId="0" xfId="0" applyNumberFormat="1" applyFont="1" applyAlignment="1">
      <alignment horizontal="center"/>
    </xf>
    <xf numFmtId="3" fontId="51" fillId="0" borderId="0" xfId="0" applyNumberFormat="1" applyFont="1" applyAlignment="1">
      <alignment horizontal="center"/>
    </xf>
    <xf numFmtId="3" fontId="49" fillId="0" borderId="0" xfId="0" applyNumberFormat="1" applyFont="1" applyAlignment="1">
      <alignment horizontal="center" vertical="top"/>
    </xf>
    <xf numFmtId="0" fontId="48" fillId="0" borderId="0" xfId="0" applyFont="1" applyAlignment="1">
      <alignment horizontal="right" vertical="top"/>
    </xf>
    <xf numFmtId="0" fontId="15" fillId="0" borderId="0" xfId="0" applyFont="1" applyAlignment="1">
      <alignment vertical="top"/>
    </xf>
    <xf numFmtId="0" fontId="28" fillId="0" borderId="0" xfId="0" applyFont="1"/>
    <xf numFmtId="0" fontId="48" fillId="0" borderId="0" xfId="0" applyFont="1" applyAlignment="1">
      <alignment horizontal="left" vertical="top"/>
    </xf>
    <xf numFmtId="4" fontId="49" fillId="0" borderId="0" xfId="0" applyNumberFormat="1" applyFont="1" applyAlignment="1">
      <alignment horizontal="center" vertical="top"/>
    </xf>
    <xf numFmtId="0" fontId="10" fillId="0" borderId="0" xfId="0" applyFont="1" applyAlignment="1">
      <alignment vertical="center"/>
    </xf>
    <xf numFmtId="166" fontId="15" fillId="0" borderId="2" xfId="0" applyNumberFormat="1" applyFont="1" applyBorder="1" applyAlignment="1">
      <alignment horizontal="center"/>
    </xf>
    <xf numFmtId="3" fontId="52" fillId="0" borderId="0" xfId="0" applyNumberFormat="1" applyFont="1" applyAlignment="1">
      <alignment horizontal="center" vertical="top"/>
    </xf>
    <xf numFmtId="0" fontId="48" fillId="0" borderId="0" xfId="0" applyFont="1" applyAlignment="1">
      <alignment horizontal="left" vertical="top" wrapText="1"/>
    </xf>
    <xf numFmtId="0" fontId="55" fillId="0" borderId="0" xfId="0" applyFont="1"/>
    <xf numFmtId="3" fontId="55" fillId="0" borderId="0" xfId="0" applyNumberFormat="1" applyFont="1" applyAlignment="1">
      <alignment horizontal="center"/>
    </xf>
    <xf numFmtId="3" fontId="55" fillId="0" borderId="2" xfId="0" applyNumberFormat="1" applyFont="1" applyBorder="1" applyAlignment="1">
      <alignment horizontal="center"/>
    </xf>
    <xf numFmtId="0" fontId="42" fillId="0" borderId="0" xfId="0" applyFont="1" applyAlignment="1">
      <alignment vertical="center"/>
    </xf>
    <xf numFmtId="0" fontId="54" fillId="0" borderId="0" xfId="0" applyFont="1" applyAlignment="1">
      <alignment horizontal="center" vertical="center"/>
    </xf>
    <xf numFmtId="0" fontId="32" fillId="0" borderId="0" xfId="0" applyFont="1" applyAlignment="1">
      <alignment horizontal="center" vertical="center"/>
    </xf>
    <xf numFmtId="9" fontId="49" fillId="0" borderId="0" xfId="1" applyFont="1" applyAlignment="1">
      <alignment horizontal="center"/>
    </xf>
    <xf numFmtId="38" fontId="49" fillId="0" borderId="0" xfId="0" applyNumberFormat="1" applyFont="1" applyAlignment="1">
      <alignment horizontal="center"/>
    </xf>
    <xf numFmtId="0" fontId="48" fillId="0" borderId="0" xfId="0" applyFont="1" applyAlignment="1">
      <alignment horizontal="right" vertical="top" wrapText="1"/>
    </xf>
    <xf numFmtId="0" fontId="0" fillId="0" borderId="0" xfId="0" applyAlignment="1">
      <alignment horizontal="left" vertical="center"/>
    </xf>
    <xf numFmtId="0" fontId="39" fillId="0" borderId="0" xfId="0" applyFont="1" applyAlignment="1">
      <alignment vertical="center"/>
    </xf>
    <xf numFmtId="3" fontId="37" fillId="0" borderId="0" xfId="0" applyNumberFormat="1" applyFont="1" applyAlignment="1">
      <alignment horizontal="center" vertical="center"/>
    </xf>
    <xf numFmtId="3" fontId="37" fillId="0" borderId="0" xfId="0" applyNumberFormat="1" applyFont="1" applyAlignment="1">
      <alignment vertical="center"/>
    </xf>
    <xf numFmtId="3" fontId="15" fillId="0" borderId="0" xfId="0" applyNumberFormat="1" applyFont="1" applyAlignment="1">
      <alignment vertical="center"/>
    </xf>
    <xf numFmtId="38" fontId="15" fillId="0" borderId="0" xfId="0" applyNumberFormat="1" applyFont="1" applyAlignment="1">
      <alignment horizontal="center"/>
    </xf>
    <xf numFmtId="38" fontId="40" fillId="0" borderId="0" xfId="0" applyNumberFormat="1" applyFont="1" applyAlignment="1">
      <alignment horizontal="center"/>
    </xf>
    <xf numFmtId="38" fontId="43" fillId="0" borderId="0" xfId="0" applyNumberFormat="1" applyFont="1" applyAlignment="1">
      <alignment horizontal="center"/>
    </xf>
    <xf numFmtId="38" fontId="43" fillId="0" borderId="2" xfId="0" applyNumberFormat="1" applyFont="1" applyBorder="1" applyAlignment="1">
      <alignment horizontal="center"/>
    </xf>
    <xf numFmtId="0" fontId="56" fillId="0" borderId="0" xfId="0" applyFont="1" applyAlignment="1">
      <alignment vertical="center"/>
    </xf>
    <xf numFmtId="0" fontId="57" fillId="0" borderId="0" xfId="0" applyFont="1" applyAlignment="1">
      <alignment vertical="center"/>
    </xf>
    <xf numFmtId="0" fontId="7" fillId="0" borderId="0" xfId="0" applyFont="1" applyAlignment="1">
      <alignment vertical="center"/>
    </xf>
    <xf numFmtId="3" fontId="18" fillId="0" borderId="0" xfId="0" applyNumberFormat="1" applyFont="1" applyAlignment="1">
      <alignment horizontal="center" vertical="center"/>
    </xf>
    <xf numFmtId="0" fontId="18" fillId="0" borderId="0" xfId="0" applyFont="1" applyAlignment="1">
      <alignment vertical="center"/>
    </xf>
    <xf numFmtId="3" fontId="7" fillId="0" borderId="0" xfId="0" applyNumberFormat="1" applyFont="1" applyAlignment="1">
      <alignment vertical="center"/>
    </xf>
    <xf numFmtId="166" fontId="7" fillId="0" borderId="2" xfId="0" applyNumberFormat="1" applyFont="1" applyBorder="1" applyAlignment="1">
      <alignment horizontal="center" vertical="center"/>
    </xf>
    <xf numFmtId="3" fontId="8" fillId="0" borderId="3" xfId="0" applyNumberFormat="1" applyFont="1" applyBorder="1" applyAlignment="1">
      <alignment horizontal="center" vertical="center"/>
    </xf>
    <xf numFmtId="38" fontId="8" fillId="0" borderId="0" xfId="0" applyNumberFormat="1" applyFont="1" applyAlignment="1">
      <alignment horizontal="center" vertical="center"/>
    </xf>
    <xf numFmtId="38" fontId="8" fillId="0" borderId="3" xfId="0" applyNumberFormat="1" applyFont="1" applyBorder="1" applyAlignment="1">
      <alignment horizontal="center" vertical="center"/>
    </xf>
    <xf numFmtId="39" fontId="7" fillId="0" borderId="0" xfId="1" applyNumberFormat="1" applyFont="1" applyAlignment="1">
      <alignment horizontal="center" vertical="center"/>
    </xf>
    <xf numFmtId="0" fontId="41" fillId="0" borderId="0" xfId="0" applyFont="1" applyAlignment="1">
      <alignment horizontal="center"/>
    </xf>
    <xf numFmtId="0" fontId="43" fillId="0" borderId="0" xfId="0" applyFont="1"/>
    <xf numFmtId="0" fontId="43" fillId="0" borderId="0" xfId="0" applyFont="1" applyAlignment="1">
      <alignment horizontal="right"/>
    </xf>
    <xf numFmtId="3" fontId="43" fillId="0" borderId="0" xfId="0" applyNumberFormat="1" applyFont="1" applyAlignment="1">
      <alignment horizontal="left"/>
    </xf>
    <xf numFmtId="3" fontId="7" fillId="0" borderId="3" xfId="0" applyNumberFormat="1" applyFont="1" applyBorder="1" applyAlignment="1">
      <alignment horizontal="center" vertical="center"/>
    </xf>
    <xf numFmtId="3" fontId="18" fillId="0" borderId="2" xfId="0" applyNumberFormat="1" applyFont="1" applyBorder="1" applyAlignment="1">
      <alignment horizontal="center" vertical="center"/>
    </xf>
    <xf numFmtId="3" fontId="43" fillId="0" borderId="0" xfId="0" applyNumberFormat="1" applyFont="1" applyAlignment="1">
      <alignment horizontal="right"/>
    </xf>
    <xf numFmtId="3" fontId="8" fillId="0" borderId="1" xfId="0" applyNumberFormat="1" applyFont="1" applyBorder="1" applyAlignment="1">
      <alignment horizontal="center" vertical="center"/>
    </xf>
    <xf numFmtId="43" fontId="15" fillId="0" borderId="0" xfId="0" applyNumberFormat="1" applyFont="1" applyAlignment="1">
      <alignment horizontal="center"/>
    </xf>
    <xf numFmtId="4" fontId="15" fillId="0" borderId="0" xfId="0" applyNumberFormat="1" applyFont="1"/>
    <xf numFmtId="0" fontId="15" fillId="0" borderId="0" xfId="0" applyFont="1" applyAlignment="1">
      <alignment horizontal="right"/>
    </xf>
    <xf numFmtId="4" fontId="15" fillId="0" borderId="0" xfId="0" applyNumberFormat="1" applyFont="1" applyAlignment="1">
      <alignment horizontal="right"/>
    </xf>
    <xf numFmtId="0" fontId="45" fillId="0" borderId="0" xfId="0" applyFont="1" applyAlignment="1">
      <alignment vertical="center"/>
    </xf>
    <xf numFmtId="0" fontId="4" fillId="0" borderId="0" xfId="0" applyFont="1" applyAlignment="1">
      <alignment vertical="center"/>
    </xf>
    <xf numFmtId="9" fontId="39" fillId="2" borderId="0" xfId="1" applyFont="1" applyFill="1" applyAlignment="1">
      <alignment horizontal="center"/>
    </xf>
    <xf numFmtId="3" fontId="15" fillId="0" borderId="0" xfId="0" applyNumberFormat="1" applyFont="1" applyAlignment="1">
      <alignment horizontal="left"/>
    </xf>
    <xf numFmtId="2" fontId="15" fillId="0" borderId="1" xfId="0" applyNumberFormat="1" applyFont="1" applyBorder="1" applyAlignment="1">
      <alignment horizontal="center"/>
    </xf>
    <xf numFmtId="2" fontId="15" fillId="0" borderId="0" xfId="0" applyNumberFormat="1" applyFont="1" applyAlignment="1">
      <alignment horizontal="center"/>
    </xf>
    <xf numFmtId="4" fontId="61" fillId="0" borderId="0" xfId="0" applyNumberFormat="1" applyFont="1" applyAlignment="1">
      <alignment horizontal="right"/>
    </xf>
    <xf numFmtId="4" fontId="61" fillId="0" borderId="0" xfId="0" applyNumberFormat="1" applyFont="1"/>
    <xf numFmtId="4" fontId="61" fillId="0" borderId="0" xfId="0" applyNumberFormat="1" applyFont="1" applyAlignment="1">
      <alignment horizontal="center"/>
    </xf>
    <xf numFmtId="0" fontId="61" fillId="0" borderId="0" xfId="0" applyFont="1"/>
    <xf numFmtId="3" fontId="61" fillId="0" borderId="0" xfId="0" applyNumberFormat="1" applyFont="1" applyAlignment="1">
      <alignment horizontal="center"/>
    </xf>
    <xf numFmtId="38" fontId="18" fillId="0" borderId="1" xfId="0" applyNumberFormat="1" applyFont="1" applyBorder="1" applyAlignment="1">
      <alignment horizontal="center"/>
    </xf>
    <xf numFmtId="164" fontId="6" fillId="0" borderId="1" xfId="1" applyNumberFormat="1" applyFont="1" applyBorder="1" applyAlignment="1">
      <alignment horizontal="center"/>
    </xf>
    <xf numFmtId="4" fontId="18" fillId="0" borderId="1" xfId="0" applyNumberFormat="1" applyFont="1" applyBorder="1" applyAlignment="1">
      <alignment horizontal="center"/>
    </xf>
    <xf numFmtId="0" fontId="18" fillId="0" borderId="0" xfId="0" applyFont="1" applyAlignment="1">
      <alignment horizontal="right"/>
    </xf>
    <xf numFmtId="0" fontId="62" fillId="0" borderId="0" xfId="0" applyFont="1" applyAlignment="1">
      <alignment vertical="center" wrapText="1"/>
    </xf>
    <xf numFmtId="0" fontId="62" fillId="0" borderId="0" xfId="0" applyFont="1" applyAlignment="1">
      <alignment horizontal="center" vertical="center" wrapText="1"/>
    </xf>
    <xf numFmtId="0" fontId="62" fillId="0" borderId="0" xfId="0" applyFont="1" applyAlignment="1">
      <alignment horizontal="center" vertical="center"/>
    </xf>
    <xf numFmtId="3" fontId="7" fillId="0" borderId="0" xfId="0" applyNumberFormat="1" applyFont="1" applyAlignment="1">
      <alignment horizontal="left" vertical="center"/>
    </xf>
    <xf numFmtId="4" fontId="59" fillId="0" borderId="0" xfId="0" applyNumberFormat="1" applyFont="1" applyAlignment="1">
      <alignment horizontal="center"/>
    </xf>
    <xf numFmtId="4" fontId="43" fillId="0" borderId="1" xfId="0" applyNumberFormat="1" applyFont="1" applyBorder="1" applyAlignment="1">
      <alignment horizontal="center"/>
    </xf>
    <xf numFmtId="3" fontId="15" fillId="0" borderId="1" xfId="0" applyNumberFormat="1" applyFont="1" applyBorder="1" applyAlignment="1">
      <alignment horizontal="center"/>
    </xf>
    <xf numFmtId="3" fontId="42" fillId="0" borderId="0" xfId="0" applyNumberFormat="1" applyFont="1"/>
    <xf numFmtId="38" fontId="42" fillId="0" borderId="0" xfId="0" applyNumberFormat="1" applyFont="1" applyAlignment="1">
      <alignment horizontal="center"/>
    </xf>
    <xf numFmtId="0" fontId="63" fillId="0" borderId="0" xfId="0" applyFont="1" applyAlignment="1">
      <alignment vertical="center"/>
    </xf>
    <xf numFmtId="0" fontId="43" fillId="0" borderId="0" xfId="2" applyFont="1" applyFill="1"/>
    <xf numFmtId="0" fontId="64" fillId="0" borderId="0" xfId="2" applyFont="1" applyFill="1"/>
    <xf numFmtId="0" fontId="65" fillId="0" borderId="0" xfId="0" applyFont="1" applyAlignment="1">
      <alignment vertical="center"/>
    </xf>
    <xf numFmtId="0" fontId="66" fillId="0" borderId="0" xfId="0" applyFont="1"/>
    <xf numFmtId="15" fontId="66" fillId="0" borderId="0" xfId="0" applyNumberFormat="1" applyFont="1"/>
    <xf numFmtId="0" fontId="66" fillId="0" borderId="0" xfId="0" applyFont="1" applyAlignment="1">
      <alignment horizontal="center"/>
    </xf>
    <xf numFmtId="15" fontId="66" fillId="0" borderId="0" xfId="0" applyNumberFormat="1" applyFont="1" applyAlignment="1">
      <alignment horizontal="center"/>
    </xf>
    <xf numFmtId="0" fontId="67" fillId="0" borderId="0" xfId="0" applyFont="1" applyAlignment="1">
      <alignment horizontal="center"/>
    </xf>
    <xf numFmtId="15" fontId="68" fillId="0" borderId="0" xfId="0" applyNumberFormat="1" applyFont="1" applyAlignment="1">
      <alignment horizontal="center"/>
    </xf>
    <xf numFmtId="0" fontId="69" fillId="0" borderId="0" xfId="0" applyFont="1" applyAlignment="1">
      <alignment vertical="center"/>
    </xf>
    <xf numFmtId="0" fontId="19" fillId="0" borderId="0" xfId="0" applyFont="1" applyAlignment="1">
      <alignment horizontal="center"/>
    </xf>
    <xf numFmtId="0" fontId="16" fillId="0" borderId="0" xfId="0" applyFont="1" applyAlignment="1">
      <alignment horizontal="center"/>
    </xf>
    <xf numFmtId="0" fontId="30" fillId="0" borderId="0" xfId="0" applyFont="1"/>
    <xf numFmtId="0" fontId="31" fillId="0" borderId="0" xfId="0" applyFont="1"/>
    <xf numFmtId="3" fontId="70" fillId="0" borderId="0" xfId="0" applyNumberFormat="1" applyFont="1" applyAlignment="1">
      <alignment horizontal="left"/>
    </xf>
    <xf numFmtId="0" fontId="26" fillId="0" borderId="0" xfId="0" applyFont="1"/>
    <xf numFmtId="0" fontId="71" fillId="0" borderId="0" xfId="0" applyFont="1"/>
    <xf numFmtId="0" fontId="72" fillId="0" borderId="0" xfId="0" applyFont="1" applyAlignment="1">
      <alignment horizontal="center"/>
    </xf>
    <xf numFmtId="164" fontId="18" fillId="0" borderId="0" xfId="0" applyNumberFormat="1" applyFont="1" applyAlignment="1">
      <alignment horizontal="center"/>
    </xf>
    <xf numFmtId="1" fontId="18" fillId="0" borderId="0" xfId="0" applyNumberFormat="1" applyFont="1" applyAlignment="1">
      <alignment horizontal="center"/>
    </xf>
    <xf numFmtId="2" fontId="18" fillId="0" borderId="0" xfId="0" applyNumberFormat="1" applyFont="1" applyAlignment="1">
      <alignment horizontal="center"/>
    </xf>
    <xf numFmtId="2" fontId="18" fillId="0" borderId="0" xfId="0" applyNumberFormat="1" applyFont="1" applyAlignment="1">
      <alignment horizontal="center" vertical="center"/>
    </xf>
    <xf numFmtId="164" fontId="18" fillId="0" borderId="0" xfId="0" applyNumberFormat="1" applyFont="1"/>
    <xf numFmtId="38" fontId="18" fillId="0" borderId="0" xfId="0" applyNumberFormat="1" applyFont="1" applyAlignment="1">
      <alignment horizontal="center" vertical="center"/>
    </xf>
    <xf numFmtId="0" fontId="73" fillId="0" borderId="0" xfId="0" applyFont="1" applyAlignment="1">
      <alignment vertical="center"/>
    </xf>
    <xf numFmtId="0" fontId="6" fillId="0" borderId="0" xfId="0" applyFont="1" applyAlignment="1">
      <alignment horizontal="center" vertical="center"/>
    </xf>
    <xf numFmtId="0" fontId="74" fillId="0" borderId="0" xfId="0" applyFont="1" applyAlignment="1">
      <alignment vertical="center"/>
    </xf>
    <xf numFmtId="0" fontId="8" fillId="0" borderId="0" xfId="0" applyFont="1" applyAlignment="1">
      <alignment horizontal="center"/>
    </xf>
    <xf numFmtId="0" fontId="31" fillId="0" borderId="0" xfId="0" applyFont="1" applyAlignment="1">
      <alignment horizontal="right"/>
    </xf>
    <xf numFmtId="3" fontId="31" fillId="0" borderId="0" xfId="0" applyNumberFormat="1" applyFont="1" applyAlignment="1">
      <alignment horizontal="center"/>
    </xf>
    <xf numFmtId="38" fontId="31" fillId="0" borderId="0" xfId="0" applyNumberFormat="1" applyFont="1" applyAlignment="1">
      <alignment horizontal="center"/>
    </xf>
    <xf numFmtId="9" fontId="10" fillId="0" borderId="0" xfId="1" applyFont="1" applyAlignment="1">
      <alignment horizontal="center"/>
    </xf>
    <xf numFmtId="38" fontId="7" fillId="0" borderId="0" xfId="0" applyNumberFormat="1" applyFont="1" applyAlignment="1">
      <alignment horizontal="center"/>
    </xf>
    <xf numFmtId="9" fontId="10" fillId="0" borderId="2" xfId="1" applyFont="1" applyBorder="1" applyAlignment="1">
      <alignment horizontal="center"/>
    </xf>
    <xf numFmtId="3" fontId="25" fillId="0" borderId="0" xfId="0" applyNumberFormat="1" applyFont="1" applyAlignment="1">
      <alignment horizontal="center" wrapText="1"/>
    </xf>
    <xf numFmtId="38" fontId="7" fillId="0" borderId="0" xfId="0" applyNumberFormat="1" applyFont="1" applyAlignment="1">
      <alignment horizontal="center" wrapText="1"/>
    </xf>
    <xf numFmtId="9" fontId="7" fillId="0" borderId="0" xfId="1" applyFont="1" applyAlignment="1">
      <alignment horizontal="center"/>
    </xf>
    <xf numFmtId="9" fontId="21" fillId="0" borderId="0" xfId="1" applyFont="1" applyAlignment="1">
      <alignment horizontal="center"/>
    </xf>
    <xf numFmtId="40" fontId="31" fillId="0" borderId="0" xfId="0" applyNumberFormat="1" applyFont="1" applyAlignment="1">
      <alignment horizontal="center"/>
    </xf>
    <xf numFmtId="38" fontId="6" fillId="0" borderId="2" xfId="0" applyNumberFormat="1" applyFont="1" applyBorder="1" applyAlignment="1">
      <alignment horizontal="center"/>
    </xf>
    <xf numFmtId="9" fontId="6" fillId="0" borderId="2" xfId="1" applyFont="1" applyBorder="1" applyAlignment="1">
      <alignment horizontal="center"/>
    </xf>
    <xf numFmtId="0" fontId="21" fillId="0" borderId="0" xfId="0" applyFont="1"/>
    <xf numFmtId="0" fontId="21" fillId="0" borderId="0" xfId="0" applyFont="1" applyAlignment="1">
      <alignment horizontal="center"/>
    </xf>
    <xf numFmtId="1" fontId="21" fillId="0" borderId="0" xfId="0" applyNumberFormat="1" applyFont="1" applyAlignment="1">
      <alignment horizontal="center"/>
    </xf>
    <xf numFmtId="3" fontId="39" fillId="0" borderId="0" xfId="0" applyNumberFormat="1" applyFont="1"/>
    <xf numFmtId="10" fontId="15" fillId="0" borderId="0" xfId="1" applyNumberFormat="1" applyFont="1" applyFill="1" applyAlignment="1">
      <alignment horizontal="center"/>
    </xf>
    <xf numFmtId="10" fontId="39" fillId="0" borderId="0" xfId="1" applyNumberFormat="1" applyFont="1" applyFill="1" applyAlignment="1">
      <alignment horizontal="center"/>
    </xf>
    <xf numFmtId="9" fontId="39" fillId="0" borderId="0" xfId="1" applyFont="1" applyFill="1" applyAlignment="1">
      <alignment horizontal="center"/>
    </xf>
    <xf numFmtId="10" fontId="15" fillId="0" borderId="0" xfId="1" applyNumberFormat="1" applyFont="1" applyFill="1" applyAlignment="1">
      <alignment horizontal="left"/>
    </xf>
    <xf numFmtId="3" fontId="39" fillId="0" borderId="0" xfId="0" applyNumberFormat="1" applyFont="1" applyAlignment="1">
      <alignment horizontal="center"/>
    </xf>
    <xf numFmtId="164" fontId="39" fillId="0" borderId="0" xfId="1" applyNumberFormat="1" applyFont="1" applyFill="1" applyAlignment="1">
      <alignment horizontal="center"/>
    </xf>
    <xf numFmtId="3" fontId="29" fillId="0" borderId="0" xfId="0" applyNumberFormat="1" applyFont="1" applyAlignment="1">
      <alignment horizontal="center"/>
    </xf>
    <xf numFmtId="10" fontId="39" fillId="0" borderId="0" xfId="1" applyNumberFormat="1" applyFont="1" applyFill="1" applyAlignment="1">
      <alignment horizontal="right"/>
    </xf>
    <xf numFmtId="166" fontId="43" fillId="0" borderId="0" xfId="0" applyNumberFormat="1" applyFont="1" applyAlignment="1">
      <alignment horizontal="right"/>
    </xf>
    <xf numFmtId="166" fontId="43" fillId="0" borderId="0" xfId="1" applyNumberFormat="1" applyFont="1" applyFill="1" applyAlignment="1">
      <alignment horizontal="left"/>
    </xf>
    <xf numFmtId="166" fontId="43" fillId="0" borderId="0" xfId="1" applyNumberFormat="1" applyFont="1" applyFill="1" applyAlignment="1">
      <alignment horizontal="center"/>
    </xf>
    <xf numFmtId="166" fontId="39" fillId="0" borderId="0" xfId="0" applyNumberFormat="1" applyFont="1" applyAlignment="1">
      <alignment horizontal="center"/>
    </xf>
    <xf numFmtId="0" fontId="29" fillId="0" borderId="0" xfId="0" applyFont="1" applyAlignment="1">
      <alignment horizontal="center"/>
    </xf>
    <xf numFmtId="0" fontId="11" fillId="0" borderId="0" xfId="0" applyFont="1" applyAlignment="1">
      <alignment vertical="center"/>
    </xf>
    <xf numFmtId="164" fontId="15" fillId="0" borderId="0" xfId="1" applyNumberFormat="1" applyFont="1" applyAlignment="1">
      <alignment horizontal="center" vertical="center"/>
    </xf>
    <xf numFmtId="38" fontId="15" fillId="0" borderId="0" xfId="0" applyNumberFormat="1" applyFont="1" applyAlignment="1">
      <alignment vertical="center"/>
    </xf>
    <xf numFmtId="0" fontId="15" fillId="0" borderId="0" xfId="0" applyFont="1" applyAlignment="1">
      <alignment horizontal="left" vertical="center"/>
    </xf>
    <xf numFmtId="3" fontId="7" fillId="0" borderId="0" xfId="0" applyNumberFormat="1" applyFont="1" applyAlignment="1">
      <alignment horizontal="center" vertical="center"/>
    </xf>
    <xf numFmtId="0" fontId="75" fillId="0" borderId="0" xfId="0" applyFont="1" applyAlignment="1">
      <alignment vertical="center"/>
    </xf>
    <xf numFmtId="164" fontId="75" fillId="0" borderId="0" xfId="1" applyNumberFormat="1" applyFont="1" applyAlignment="1">
      <alignment horizontal="center" vertical="center"/>
    </xf>
    <xf numFmtId="0" fontId="76" fillId="0" borderId="0" xfId="0" applyFont="1" applyAlignment="1">
      <alignment horizontal="center" vertical="center"/>
    </xf>
    <xf numFmtId="0" fontId="76" fillId="0" borderId="0" xfId="0" applyFont="1" applyAlignment="1">
      <alignment vertical="center"/>
    </xf>
    <xf numFmtId="0" fontId="59" fillId="0" borderId="0" xfId="0" applyFont="1" applyAlignment="1">
      <alignment horizontal="center" vertical="center"/>
    </xf>
    <xf numFmtId="164" fontId="7" fillId="0" borderId="0" xfId="1" applyNumberFormat="1" applyFont="1" applyAlignment="1">
      <alignment horizontal="center" vertical="center"/>
    </xf>
    <xf numFmtId="3" fontId="43" fillId="0" borderId="0" xfId="0" applyNumberFormat="1" applyFont="1" applyAlignment="1">
      <alignment vertical="center"/>
    </xf>
    <xf numFmtId="4" fontId="18" fillId="0" borderId="0" xfId="0" applyNumberFormat="1" applyFont="1" applyAlignment="1">
      <alignment horizontal="center" vertical="center"/>
    </xf>
    <xf numFmtId="38" fontId="18" fillId="0" borderId="0" xfId="0" applyNumberFormat="1" applyFont="1" applyAlignment="1">
      <alignment vertical="center"/>
    </xf>
    <xf numFmtId="0" fontId="9" fillId="0" borderId="0" xfId="0" applyFont="1"/>
    <xf numFmtId="0" fontId="27" fillId="0" borderId="0" xfId="0" applyFont="1"/>
    <xf numFmtId="0" fontId="9" fillId="0" borderId="0" xfId="0" applyFont="1" applyAlignment="1">
      <alignment horizontal="center"/>
    </xf>
    <xf numFmtId="1" fontId="9" fillId="0" borderId="0" xfId="0" applyNumberFormat="1" applyFont="1" applyAlignment="1">
      <alignment horizontal="center"/>
    </xf>
    <xf numFmtId="1" fontId="9" fillId="0" borderId="0" xfId="0" applyNumberFormat="1" applyFont="1" applyAlignment="1">
      <alignment horizontal="left"/>
    </xf>
    <xf numFmtId="3" fontId="36" fillId="0" borderId="0" xfId="0" applyNumberFormat="1" applyFont="1"/>
    <xf numFmtId="3" fontId="36" fillId="0" borderId="0" xfId="0" applyNumberFormat="1" applyFont="1" applyAlignment="1">
      <alignment horizontal="center"/>
    </xf>
    <xf numFmtId="0" fontId="13" fillId="0" borderId="0" xfId="0" applyFont="1"/>
    <xf numFmtId="169" fontId="46" fillId="0" borderId="0" xfId="4" applyNumberFormat="1" applyFont="1" applyAlignment="1"/>
    <xf numFmtId="3" fontId="47" fillId="0" borderId="0" xfId="0" applyNumberFormat="1" applyFont="1" applyAlignment="1">
      <alignment horizontal="center"/>
    </xf>
    <xf numFmtId="164" fontId="47" fillId="0" borderId="0" xfId="1" applyNumberFormat="1" applyFont="1" applyAlignment="1">
      <alignment horizontal="center"/>
    </xf>
    <xf numFmtId="167" fontId="39" fillId="0" borderId="0" xfId="1" applyNumberFormat="1" applyFont="1" applyFill="1" applyAlignment="1">
      <alignment horizontal="center"/>
    </xf>
    <xf numFmtId="4" fontId="15" fillId="0" borderId="0" xfId="1" applyNumberFormat="1" applyFont="1" applyFill="1" applyAlignment="1">
      <alignment horizontal="center"/>
    </xf>
    <xf numFmtId="4" fontId="39" fillId="0" borderId="0" xfId="1" applyNumberFormat="1" applyFont="1" applyFill="1" applyAlignment="1">
      <alignment horizontal="center"/>
    </xf>
    <xf numFmtId="166" fontId="39" fillId="0" borderId="0" xfId="1" applyNumberFormat="1" applyFont="1" applyFill="1" applyAlignment="1">
      <alignment horizontal="center"/>
    </xf>
    <xf numFmtId="3" fontId="39" fillId="0" borderId="0" xfId="1" applyNumberFormat="1" applyFont="1" applyFill="1" applyAlignment="1">
      <alignment horizontal="center"/>
    </xf>
    <xf numFmtId="164" fontId="15" fillId="0" borderId="0" xfId="1" applyNumberFormat="1" applyFont="1" applyFill="1" applyAlignment="1">
      <alignment horizontal="center"/>
    </xf>
    <xf numFmtId="0" fontId="43" fillId="0" borderId="0" xfId="0" applyFont="1" applyAlignment="1">
      <alignment horizontal="center"/>
    </xf>
    <xf numFmtId="10" fontId="43" fillId="0" borderId="0" xfId="1" applyNumberFormat="1" applyFont="1" applyFill="1" applyAlignment="1">
      <alignment horizontal="center"/>
    </xf>
    <xf numFmtId="10" fontId="36" fillId="0" borderId="0" xfId="1" applyNumberFormat="1" applyFont="1" applyFill="1" applyAlignment="1">
      <alignment horizontal="center"/>
    </xf>
    <xf numFmtId="9" fontId="36" fillId="0" borderId="0" xfId="1" applyFont="1" applyFill="1" applyAlignment="1">
      <alignment horizontal="center"/>
    </xf>
    <xf numFmtId="164" fontId="36" fillId="0" borderId="0" xfId="1" applyNumberFormat="1" applyFont="1" applyFill="1" applyAlignment="1">
      <alignment horizontal="center"/>
    </xf>
    <xf numFmtId="164" fontId="43" fillId="0" borderId="0" xfId="1" applyNumberFormat="1" applyFont="1" applyFill="1" applyAlignment="1">
      <alignment horizontal="center"/>
    </xf>
    <xf numFmtId="0" fontId="77" fillId="0" borderId="0" xfId="0" applyFont="1"/>
    <xf numFmtId="0" fontId="77" fillId="0" borderId="0" xfId="0" applyFont="1" applyAlignment="1">
      <alignment horizontal="center"/>
    </xf>
    <xf numFmtId="0" fontId="78" fillId="0" borderId="0" xfId="0" applyFont="1"/>
    <xf numFmtId="3" fontId="79" fillId="0" borderId="0" xfId="0" applyNumberFormat="1" applyFont="1"/>
    <xf numFmtId="3" fontId="80" fillId="0" borderId="0" xfId="0" applyNumberFormat="1" applyFont="1" applyAlignment="1">
      <alignment horizontal="center"/>
    </xf>
    <xf numFmtId="3" fontId="81" fillId="0" borderId="0" xfId="0" applyNumberFormat="1" applyFont="1"/>
    <xf numFmtId="0" fontId="82" fillId="0" borderId="0" xfId="0" applyFont="1"/>
    <xf numFmtId="3" fontId="83" fillId="0" borderId="0" xfId="0" applyNumberFormat="1" applyFont="1"/>
    <xf numFmtId="10" fontId="55" fillId="0" borderId="0" xfId="1" applyNumberFormat="1" applyFont="1" applyFill="1" applyAlignment="1">
      <alignment horizontal="center"/>
    </xf>
    <xf numFmtId="164" fontId="83" fillId="0" borderId="0" xfId="1" applyNumberFormat="1" applyFont="1" applyFill="1" applyAlignment="1">
      <alignment horizontal="center"/>
    </xf>
    <xf numFmtId="164" fontId="84" fillId="0" borderId="0" xfId="1" applyNumberFormat="1" applyFont="1" applyFill="1" applyAlignment="1">
      <alignment horizontal="center"/>
    </xf>
    <xf numFmtId="9" fontId="39" fillId="0" borderId="0" xfId="1" applyFont="1" applyFill="1"/>
    <xf numFmtId="3" fontId="85" fillId="0" borderId="1" xfId="0" applyNumberFormat="1" applyFont="1" applyBorder="1" applyAlignment="1">
      <alignment horizontal="center"/>
    </xf>
    <xf numFmtId="3" fontId="86" fillId="0" borderId="1" xfId="0" applyNumberFormat="1" applyFont="1" applyBorder="1" applyAlignment="1">
      <alignment horizontal="center"/>
    </xf>
    <xf numFmtId="3" fontId="3" fillId="0" borderId="2" xfId="0" applyNumberFormat="1" applyFont="1" applyBorder="1" applyAlignment="1">
      <alignment horizontal="center"/>
    </xf>
    <xf numFmtId="3" fontId="7" fillId="0" borderId="0" xfId="0" applyNumberFormat="1" applyFont="1" applyAlignment="1">
      <alignment horizontal="center"/>
    </xf>
    <xf numFmtId="0" fontId="3" fillId="0" borderId="0" xfId="0" applyFont="1"/>
    <xf numFmtId="0" fontId="87" fillId="0" borderId="0" xfId="0" applyFont="1"/>
    <xf numFmtId="3" fontId="38" fillId="0" borderId="0" xfId="0" quotePrefix="1" applyNumberFormat="1" applyFont="1"/>
    <xf numFmtId="4" fontId="37" fillId="0" borderId="0" xfId="0" applyNumberFormat="1" applyFont="1" applyAlignment="1">
      <alignment horizontal="center"/>
    </xf>
    <xf numFmtId="166" fontId="19" fillId="0" borderId="0" xfId="0" applyNumberFormat="1" applyFont="1" applyAlignment="1">
      <alignment horizontal="center"/>
    </xf>
    <xf numFmtId="3" fontId="10" fillId="0" borderId="0" xfId="0" applyNumberFormat="1" applyFont="1" applyAlignment="1">
      <alignment vertical="center"/>
    </xf>
    <xf numFmtId="3" fontId="7" fillId="0" borderId="2" xfId="0" applyNumberFormat="1" applyFont="1" applyBorder="1" applyAlignment="1">
      <alignment horizontal="center" vertical="center"/>
    </xf>
    <xf numFmtId="4" fontId="39" fillId="0" borderId="0" xfId="0" applyNumberFormat="1" applyFont="1" applyAlignment="1">
      <alignment horizontal="center"/>
    </xf>
    <xf numFmtId="4" fontId="15" fillId="0" borderId="2" xfId="0" applyNumberFormat="1" applyFont="1" applyBorder="1" applyAlignment="1">
      <alignment horizontal="center"/>
    </xf>
    <xf numFmtId="43" fontId="10" fillId="0" borderId="0" xfId="4" applyFont="1" applyFill="1" applyAlignment="1">
      <alignment horizontal="center"/>
    </xf>
    <xf numFmtId="0" fontId="22" fillId="0" borderId="0" xfId="0" applyFont="1"/>
    <xf numFmtId="168" fontId="39" fillId="0" borderId="0" xfId="0" applyNumberFormat="1" applyFont="1" applyAlignment="1">
      <alignment horizontal="center"/>
    </xf>
    <xf numFmtId="166" fontId="7" fillId="0" borderId="2" xfId="0" applyNumberFormat="1" applyFont="1" applyBorder="1" applyAlignment="1">
      <alignment horizontal="center"/>
    </xf>
    <xf numFmtId="4" fontId="15" fillId="0" borderId="4" xfId="0" applyNumberFormat="1" applyFont="1" applyBorder="1" applyAlignment="1">
      <alignment horizontal="center"/>
    </xf>
    <xf numFmtId="166" fontId="49" fillId="0" borderId="0" xfId="0" applyNumberFormat="1" applyFont="1" applyAlignment="1">
      <alignment horizontal="center" vertical="top"/>
    </xf>
    <xf numFmtId="3" fontId="3" fillId="0" borderId="3" xfId="0" applyNumberFormat="1" applyFont="1" applyBorder="1" applyAlignment="1">
      <alignment horizontal="center" vertical="center"/>
    </xf>
    <xf numFmtId="169" fontId="46" fillId="0" borderId="0" xfId="4" applyNumberFormat="1" applyFont="1" applyFill="1" applyAlignment="1">
      <alignment vertical="center"/>
    </xf>
    <xf numFmtId="3" fontId="47" fillId="0" borderId="0" xfId="0" applyNumberFormat="1" applyFont="1" applyAlignment="1">
      <alignment horizontal="center" vertical="center"/>
    </xf>
    <xf numFmtId="164" fontId="47" fillId="0" borderId="0" xfId="1" applyNumberFormat="1" applyFont="1" applyFill="1" applyAlignment="1">
      <alignment horizontal="center" vertical="center"/>
    </xf>
    <xf numFmtId="4" fontId="36" fillId="0" borderId="0" xfId="0" applyNumberFormat="1" applyFont="1" applyAlignment="1">
      <alignment horizontal="right"/>
    </xf>
    <xf numFmtId="1" fontId="15" fillId="0" borderId="0" xfId="0" applyNumberFormat="1" applyFont="1" applyAlignment="1">
      <alignment horizontal="center"/>
    </xf>
    <xf numFmtId="9" fontId="15" fillId="0" borderId="0" xfId="1" applyFont="1" applyFill="1" applyAlignment="1">
      <alignment horizontal="center"/>
    </xf>
    <xf numFmtId="0" fontId="41" fillId="0" borderId="0" xfId="0" applyFont="1" applyAlignment="1">
      <alignment horizontal="center" vertical="center"/>
    </xf>
    <xf numFmtId="3" fontId="53" fillId="0" borderId="0" xfId="0" applyNumberFormat="1" applyFont="1" applyAlignment="1">
      <alignment horizontal="left" vertical="top"/>
    </xf>
    <xf numFmtId="3" fontId="87" fillId="0" borderId="0" xfId="0" applyNumberFormat="1" applyFont="1"/>
    <xf numFmtId="3" fontId="32" fillId="0" borderId="1" xfId="0" applyNumberFormat="1" applyFont="1" applyBorder="1" applyAlignment="1">
      <alignment horizontal="center"/>
    </xf>
    <xf numFmtId="43" fontId="36" fillId="0" borderId="0" xfId="4" applyFont="1" applyFill="1"/>
    <xf numFmtId="43" fontId="36" fillId="0" borderId="0" xfId="4" applyFont="1" applyFill="1" applyAlignment="1">
      <alignment horizontal="center"/>
    </xf>
    <xf numFmtId="165" fontId="36" fillId="0" borderId="0" xfId="0" applyNumberFormat="1" applyFont="1" applyAlignment="1">
      <alignment horizontal="center"/>
    </xf>
    <xf numFmtId="43" fontId="15" fillId="0" borderId="0" xfId="4" applyFont="1" applyFill="1"/>
    <xf numFmtId="3" fontId="20" fillId="0" borderId="0" xfId="0" applyNumberFormat="1" applyFont="1"/>
    <xf numFmtId="3" fontId="20" fillId="0" borderId="0" xfId="0" applyNumberFormat="1" applyFont="1" applyAlignment="1">
      <alignment horizontal="center"/>
    </xf>
    <xf numFmtId="9" fontId="20" fillId="0" borderId="0" xfId="1" applyFont="1" applyFill="1" applyAlignment="1">
      <alignment horizontal="center"/>
    </xf>
    <xf numFmtId="4" fontId="20" fillId="0" borderId="0" xfId="0" applyNumberFormat="1" applyFont="1" applyAlignment="1">
      <alignment horizontal="center"/>
    </xf>
    <xf numFmtId="0" fontId="20" fillId="0" borderId="0" xfId="0" applyFont="1" applyAlignment="1">
      <alignment horizontal="left"/>
    </xf>
    <xf numFmtId="0" fontId="36" fillId="0" borderId="0" xfId="0" applyFont="1"/>
    <xf numFmtId="0" fontId="20" fillId="0" borderId="0" xfId="0" applyFont="1" applyAlignment="1">
      <alignment horizontal="center"/>
    </xf>
    <xf numFmtId="1" fontId="36" fillId="0" borderId="0" xfId="0" applyNumberFormat="1" applyFont="1" applyAlignment="1">
      <alignment horizontal="center"/>
    </xf>
    <xf numFmtId="0" fontId="88" fillId="0" borderId="0" xfId="0" applyFont="1"/>
    <xf numFmtId="0" fontId="88" fillId="0" borderId="0" xfId="0" applyFont="1" applyAlignment="1">
      <alignment horizontal="center"/>
    </xf>
    <xf numFmtId="1" fontId="88" fillId="0" borderId="0" xfId="0" applyNumberFormat="1" applyFont="1" applyAlignment="1">
      <alignment horizontal="center"/>
    </xf>
    <xf numFmtId="3" fontId="58" fillId="0" borderId="0" xfId="0" applyNumberFormat="1" applyFont="1"/>
    <xf numFmtId="10" fontId="43" fillId="0" borderId="0" xfId="1" applyNumberFormat="1" applyFont="1" applyAlignment="1">
      <alignment horizontal="center" vertical="center"/>
    </xf>
    <xf numFmtId="4" fontId="39" fillId="3" borderId="0" xfId="0" applyNumberFormat="1" applyFont="1" applyFill="1" applyAlignment="1">
      <alignment horizontal="center"/>
    </xf>
    <xf numFmtId="3" fontId="39" fillId="3" borderId="0" xfId="0" applyNumberFormat="1" applyFont="1" applyFill="1" applyAlignment="1">
      <alignment horizontal="center"/>
    </xf>
    <xf numFmtId="164" fontId="39" fillId="3" borderId="0" xfId="1" applyNumberFormat="1" applyFont="1" applyFill="1" applyAlignment="1">
      <alignment horizontal="center"/>
    </xf>
    <xf numFmtId="9" fontId="39" fillId="3" borderId="0" xfId="1" applyFont="1" applyFill="1" applyAlignment="1">
      <alignment horizontal="center"/>
    </xf>
    <xf numFmtId="168" fontId="39" fillId="3" borderId="0" xfId="0" applyNumberFormat="1" applyFont="1" applyFill="1" applyAlignment="1">
      <alignment horizontal="center"/>
    </xf>
    <xf numFmtId="9" fontId="28" fillId="0" borderId="0" xfId="1" applyFont="1" applyAlignment="1">
      <alignment horizontal="center"/>
    </xf>
    <xf numFmtId="3" fontId="43" fillId="0" borderId="0" xfId="0" applyNumberFormat="1" applyFont="1" applyAlignment="1">
      <alignment horizontal="center" wrapText="1"/>
    </xf>
    <xf numFmtId="9" fontId="43" fillId="0" borderId="0" xfId="1" applyFont="1" applyAlignment="1">
      <alignment horizontal="center"/>
    </xf>
    <xf numFmtId="9" fontId="15" fillId="0" borderId="2" xfId="1" applyFont="1" applyBorder="1" applyAlignment="1">
      <alignment horizontal="center"/>
    </xf>
    <xf numFmtId="0" fontId="89" fillId="0" borderId="0" xfId="0" applyFont="1"/>
    <xf numFmtId="0" fontId="70" fillId="0" borderId="0" xfId="0" applyFont="1" applyAlignment="1">
      <alignment horizontal="right"/>
    </xf>
    <xf numFmtId="3" fontId="70" fillId="0" borderId="0" xfId="0" applyNumberFormat="1" applyFont="1" applyAlignment="1">
      <alignment horizontal="right"/>
    </xf>
    <xf numFmtId="38" fontId="3" fillId="0" borderId="0" xfId="0" applyNumberFormat="1" applyFont="1" applyAlignment="1">
      <alignment horizontal="right" wrapText="1"/>
    </xf>
    <xf numFmtId="164" fontId="70" fillId="0" borderId="0" xfId="1" applyNumberFormat="1" applyFont="1" applyAlignment="1">
      <alignment horizontal="left"/>
    </xf>
    <xf numFmtId="164" fontId="70" fillId="0" borderId="0" xfId="1" applyNumberFormat="1" applyFont="1" applyAlignment="1">
      <alignment horizontal="center"/>
    </xf>
    <xf numFmtId="166" fontId="39" fillId="3" borderId="0" xfId="0" applyNumberFormat="1" applyFont="1" applyFill="1" applyAlignment="1">
      <alignment horizontal="center"/>
    </xf>
    <xf numFmtId="10" fontId="39" fillId="3" borderId="0" xfId="1" applyNumberFormat="1" applyFont="1" applyFill="1" applyAlignment="1">
      <alignment horizontal="center"/>
    </xf>
    <xf numFmtId="4" fontId="39" fillId="3" borderId="0" xfId="1" applyNumberFormat="1" applyFont="1" applyFill="1" applyAlignment="1">
      <alignment horizontal="center"/>
    </xf>
    <xf numFmtId="4" fontId="37" fillId="3" borderId="0" xfId="0" applyNumberFormat="1" applyFont="1" applyFill="1" applyAlignment="1">
      <alignment horizontal="center"/>
    </xf>
    <xf numFmtId="38" fontId="30" fillId="0" borderId="0" xfId="0" applyNumberFormat="1" applyFont="1" applyAlignment="1">
      <alignment horizontal="center"/>
    </xf>
    <xf numFmtId="3" fontId="30" fillId="0" borderId="0" xfId="0" applyNumberFormat="1" applyFont="1" applyAlignment="1">
      <alignment horizontal="center"/>
    </xf>
    <xf numFmtId="0" fontId="3" fillId="0" borderId="0" xfId="0" applyFont="1" applyAlignment="1">
      <alignment horizontal="center"/>
    </xf>
    <xf numFmtId="9" fontId="30" fillId="0" borderId="0" xfId="1" applyFont="1" applyAlignment="1">
      <alignment horizontal="center"/>
    </xf>
    <xf numFmtId="9" fontId="4" fillId="0" borderId="0" xfId="1" applyFont="1" applyAlignment="1">
      <alignment horizontal="center"/>
    </xf>
    <xf numFmtId="0" fontId="90" fillId="0" borderId="0" xfId="0" applyFont="1" applyAlignment="1">
      <alignment vertical="center"/>
    </xf>
    <xf numFmtId="0" fontId="91" fillId="0" borderId="0" xfId="0" applyFont="1" applyAlignment="1">
      <alignment vertical="center"/>
    </xf>
    <xf numFmtId="0" fontId="91" fillId="0" borderId="0" xfId="0" applyFont="1" applyAlignment="1">
      <alignment horizontal="center" vertical="center"/>
    </xf>
    <xf numFmtId="0" fontId="91" fillId="0" borderId="0" xfId="0" applyFont="1"/>
    <xf numFmtId="0" fontId="92" fillId="0" borderId="0" xfId="0" applyFont="1" applyAlignment="1">
      <alignment vertical="center"/>
    </xf>
    <xf numFmtId="0" fontId="93" fillId="0" borderId="0" xfId="0" applyFont="1" applyAlignment="1">
      <alignment vertical="center"/>
    </xf>
    <xf numFmtId="0" fontId="37" fillId="0" borderId="0" xfId="0" applyFont="1" applyAlignment="1">
      <alignment vertical="center"/>
    </xf>
    <xf numFmtId="0" fontId="94" fillId="0" borderId="0" xfId="0" applyFont="1" applyAlignment="1">
      <alignment vertical="center"/>
    </xf>
    <xf numFmtId="0" fontId="95" fillId="0" borderId="0" xfId="0" applyFont="1" applyAlignment="1">
      <alignment vertical="center"/>
    </xf>
    <xf numFmtId="0" fontId="96" fillId="0" borderId="0" xfId="0" applyFont="1" applyAlignment="1">
      <alignment vertical="center"/>
    </xf>
    <xf numFmtId="164" fontId="8" fillId="0" borderId="0" xfId="1" applyNumberFormat="1" applyFont="1" applyAlignment="1">
      <alignment horizontal="center" vertical="center"/>
    </xf>
  </cellXfs>
  <cellStyles count="5">
    <cellStyle name="******************************************" xfId="3" xr:uid="{00000000-0005-0000-0000-000000000000}"/>
    <cellStyle name="Comma" xfId="4" builtinId="3"/>
    <cellStyle name="Hyperlink" xfId="2" builtinId="8"/>
    <cellStyle name="Normal" xfId="0" builtinId="0"/>
    <cellStyle name="Percent" xfId="1" builtinId="5"/>
  </cellStyles>
  <dxfs count="0"/>
  <tableStyles count="0" defaultTableStyle="TableStyleMedium9" defaultPivotStyle="PivotStyleLight16"/>
  <colors>
    <mruColors>
      <color rgb="FFFF33CC"/>
      <color rgb="FF0033CC"/>
      <color rgb="FF008000"/>
      <color rgb="FF37E600"/>
      <color rgb="FFFFCCCC"/>
      <color rgb="FFFF99FF"/>
      <color rgb="FFFF9900"/>
      <color rgb="FFFFCC66"/>
      <color rgb="FF66FF33"/>
      <color rgb="FFE1F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Cash Generation </a:t>
            </a:r>
            <a:r>
              <a:rPr lang="en-US" sz="1400" b="0"/>
              <a:t>- </a:t>
            </a:r>
            <a:r>
              <a:rPr lang="en-US" sz="1400" b="0">
                <a:solidFill>
                  <a:schemeClr val="accent6">
                    <a:lumMod val="75000"/>
                  </a:schemeClr>
                </a:solidFill>
              </a:rPr>
              <a:t>high case </a:t>
            </a:r>
          </a:p>
        </c:rich>
      </c:tx>
      <c:layout>
        <c:manualLayout>
          <c:xMode val="edge"/>
          <c:yMode val="edge"/>
          <c:x val="0.22192327284108973"/>
          <c:y val="4.3589114853267226E-2"/>
        </c:manualLayout>
      </c:layout>
      <c:overlay val="0"/>
    </c:title>
    <c:autoTitleDeleted val="0"/>
    <c:plotArea>
      <c:layout>
        <c:manualLayout>
          <c:layoutTarget val="inner"/>
          <c:xMode val="edge"/>
          <c:yMode val="edge"/>
          <c:x val="0.17940525138637825"/>
          <c:y val="5.9910251180138693E-2"/>
          <c:w val="0.79139605992830664"/>
          <c:h val="0.76572054335867135"/>
        </c:manualLayout>
      </c:layout>
      <c:barChart>
        <c:barDir val="col"/>
        <c:grouping val="stacked"/>
        <c:varyColors val="0"/>
        <c:ser>
          <c:idx val="0"/>
          <c:order val="0"/>
          <c:tx>
            <c:strRef>
              <c:f>'High Case'!$A$748</c:f>
              <c:strCache>
                <c:ptCount val="1"/>
                <c:pt idx="0">
                  <c:v>Cash Generation - High Case</c:v>
                </c:pt>
              </c:strCache>
            </c:strRef>
          </c:tx>
          <c:spPr>
            <a:solidFill>
              <a:schemeClr val="accent3">
                <a:lumMod val="40000"/>
                <a:lumOff val="60000"/>
              </a:schemeClr>
            </a:solidFill>
            <a:ln>
              <a:noFill/>
            </a:ln>
          </c:spPr>
          <c:invertIfNegative val="0"/>
          <c:cat>
            <c:numRef>
              <c:f>'Expected NPV &amp; Common Data'!$D$36:$AD$36</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'High Case'!$D$748:$AD$748</c:f>
              <c:numCache>
                <c:formatCode>#,##0_);[Red]\(#,##0\)</c:formatCode>
                <c:ptCount val="27"/>
                <c:pt idx="0">
                  <c:v>-241.92</c:v>
                </c:pt>
                <c:pt idx="1">
                  <c:v>-577.44000000000005</c:v>
                </c:pt>
                <c:pt idx="2">
                  <c:v>93.760992709346283</c:v>
                </c:pt>
                <c:pt idx="3">
                  <c:v>441.26933093128264</c:v>
                </c:pt>
                <c:pt idx="4">
                  <c:v>393.29937686806022</c:v>
                </c:pt>
                <c:pt idx="5">
                  <c:v>367.67472684351844</c:v>
                </c:pt>
                <c:pt idx="6">
                  <c:v>325.35452755934483</c:v>
                </c:pt>
                <c:pt idx="7">
                  <c:v>250.32367414431872</c:v>
                </c:pt>
                <c:pt idx="8">
                  <c:v>191.18466876145746</c:v>
                </c:pt>
                <c:pt idx="9">
                  <c:v>157.79100136292652</c:v>
                </c:pt>
                <c:pt idx="10">
                  <c:v>170.52986863478588</c:v>
                </c:pt>
                <c:pt idx="11">
                  <c:v>166.38839446352188</c:v>
                </c:pt>
                <c:pt idx="12">
                  <c:v>179.58491552037464</c:v>
                </c:pt>
                <c:pt idx="13">
                  <c:v>157.40896526818415</c:v>
                </c:pt>
                <c:pt idx="14">
                  <c:v>155.35299149718406</c:v>
                </c:pt>
                <c:pt idx="15">
                  <c:v>196.71294352412858</c:v>
                </c:pt>
                <c:pt idx="16">
                  <c:v>337.21904640531193</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0-5784-456F-BD5B-356B0F956378}"/>
            </c:ext>
          </c:extLst>
        </c:ser>
        <c:dLbls>
          <c:showLegendKey val="0"/>
          <c:showVal val="0"/>
          <c:showCatName val="0"/>
          <c:showSerName val="0"/>
          <c:showPercent val="0"/>
          <c:showBubbleSize val="0"/>
        </c:dLbls>
        <c:gapWidth val="0"/>
        <c:overlap val="100"/>
        <c:axId val="371322096"/>
        <c:axId val="371323272"/>
      </c:barChart>
      <c:lineChart>
        <c:grouping val="standard"/>
        <c:varyColors val="0"/>
        <c:ser>
          <c:idx val="1"/>
          <c:order val="1"/>
          <c:tx>
            <c:strRef>
              <c:f>'High Case'!$A$749</c:f>
              <c:strCache>
                <c:ptCount val="1"/>
                <c:pt idx="0">
                  <c:v>Cumuative Cash Generation</c:v>
                </c:pt>
              </c:strCache>
            </c:strRef>
          </c:tx>
          <c:spPr>
            <a:ln w="28575">
              <a:solidFill>
                <a:schemeClr val="accent3">
                  <a:lumMod val="75000"/>
                </a:schemeClr>
              </a:solidFill>
            </a:ln>
          </c:spPr>
          <c:marker>
            <c:symbol val="none"/>
          </c:marker>
          <c:cat>
            <c:numRef>
              <c:f>'Expected NPV &amp; Common Data'!$D$36:$AD$36</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'High Case'!$D$749:$AD$749</c:f>
              <c:numCache>
                <c:formatCode>#,##0_);[Red]\(#,##0\)</c:formatCode>
                <c:ptCount val="27"/>
                <c:pt idx="0">
                  <c:v>-241.92</c:v>
                </c:pt>
                <c:pt idx="1">
                  <c:v>-819.36</c:v>
                </c:pt>
                <c:pt idx="2">
                  <c:v>-725.59900729065373</c:v>
                </c:pt>
                <c:pt idx="3">
                  <c:v>-284.32967635937109</c:v>
                </c:pt>
                <c:pt idx="4">
                  <c:v>108.96970050868913</c:v>
                </c:pt>
                <c:pt idx="5">
                  <c:v>476.64442735220757</c:v>
                </c:pt>
                <c:pt idx="6">
                  <c:v>801.99895491155235</c:v>
                </c:pt>
                <c:pt idx="7">
                  <c:v>1052.3226290558709</c:v>
                </c:pt>
                <c:pt idx="8">
                  <c:v>1243.5072978173284</c:v>
                </c:pt>
                <c:pt idx="9">
                  <c:v>1401.2982991802551</c:v>
                </c:pt>
                <c:pt idx="10">
                  <c:v>1571.8281678150411</c:v>
                </c:pt>
                <c:pt idx="11">
                  <c:v>1738.2165622785628</c:v>
                </c:pt>
                <c:pt idx="12">
                  <c:v>1917.8014777989374</c:v>
                </c:pt>
                <c:pt idx="13">
                  <c:v>2075.2104430671216</c:v>
                </c:pt>
                <c:pt idx="14">
                  <c:v>2230.5634345643057</c:v>
                </c:pt>
                <c:pt idx="15">
                  <c:v>2427.2763780884343</c:v>
                </c:pt>
                <c:pt idx="16">
                  <c:v>2764.4954244937462</c:v>
                </c:pt>
                <c:pt idx="17">
                  <c:v>2764.4954244937462</c:v>
                </c:pt>
                <c:pt idx="18">
                  <c:v>2764.4954244937462</c:v>
                </c:pt>
                <c:pt idx="19">
                  <c:v>2764.4954244937462</c:v>
                </c:pt>
                <c:pt idx="20">
                  <c:v>2764.4954244937462</c:v>
                </c:pt>
                <c:pt idx="21">
                  <c:v>2764.4954244937462</c:v>
                </c:pt>
                <c:pt idx="22">
                  <c:v>2764.4954244937462</c:v>
                </c:pt>
                <c:pt idx="23">
                  <c:v>2764.4954244937462</c:v>
                </c:pt>
                <c:pt idx="24">
                  <c:v>2764.4954244937462</c:v>
                </c:pt>
                <c:pt idx="25">
                  <c:v>2764.4954244937462</c:v>
                </c:pt>
                <c:pt idx="26">
                  <c:v>2764.4954244937462</c:v>
                </c:pt>
              </c:numCache>
            </c:numRef>
          </c:val>
          <c:smooth val="0"/>
          <c:extLst>
            <c:ext xmlns:c16="http://schemas.microsoft.com/office/drawing/2014/chart" uri="{C3380CC4-5D6E-409C-BE32-E72D297353CC}">
              <c16:uniqueId val="{00000001-5784-456F-BD5B-356B0F956378}"/>
            </c:ext>
          </c:extLst>
        </c:ser>
        <c:dLbls>
          <c:showLegendKey val="0"/>
          <c:showVal val="0"/>
          <c:showCatName val="0"/>
          <c:showSerName val="0"/>
          <c:showPercent val="0"/>
          <c:showBubbleSize val="0"/>
        </c:dLbls>
        <c:marker val="1"/>
        <c:smooth val="0"/>
        <c:axId val="371322096"/>
        <c:axId val="371323272"/>
      </c:lineChart>
      <c:catAx>
        <c:axId val="371322096"/>
        <c:scaling>
          <c:orientation val="minMax"/>
        </c:scaling>
        <c:delete val="0"/>
        <c:axPos val="b"/>
        <c:numFmt formatCode="0" sourceLinked="1"/>
        <c:majorTickMark val="out"/>
        <c:minorTickMark val="none"/>
        <c:tickLblPos val="nextTo"/>
        <c:txPr>
          <a:bodyPr/>
          <a:lstStyle/>
          <a:p>
            <a:pPr>
              <a:defRPr sz="900" b="0"/>
            </a:pPr>
            <a:endParaRPr lang="en-US"/>
          </a:p>
        </c:txPr>
        <c:crossAx val="371323272"/>
        <c:crosses val="autoZero"/>
        <c:auto val="1"/>
        <c:lblAlgn val="ctr"/>
        <c:lblOffset val="100"/>
        <c:noMultiLvlLbl val="0"/>
      </c:catAx>
      <c:valAx>
        <c:axId val="371323272"/>
        <c:scaling>
          <c:orientation val="minMax"/>
        </c:scaling>
        <c:delete val="0"/>
        <c:axPos val="l"/>
        <c:majorGridlines/>
        <c:title>
          <c:tx>
            <c:rich>
              <a:bodyPr rot="-5400000" vert="horz"/>
              <a:lstStyle/>
              <a:p>
                <a:pPr>
                  <a:defRPr sz="1100" b="0">
                    <a:solidFill>
                      <a:srgbClr val="00B050"/>
                    </a:solidFill>
                  </a:defRPr>
                </a:pPr>
                <a:r>
                  <a:rPr lang="en-US" sz="1100" b="0">
                    <a:solidFill>
                      <a:srgbClr val="00B050"/>
                    </a:solidFill>
                  </a:rPr>
                  <a:t>US$ Millions Real</a:t>
                </a:r>
              </a:p>
            </c:rich>
          </c:tx>
          <c:layout>
            <c:manualLayout>
              <c:xMode val="edge"/>
              <c:yMode val="edge"/>
              <c:x val="1.6170768392842341E-2"/>
              <c:y val="0.20678074458569781"/>
            </c:manualLayout>
          </c:layout>
          <c:overlay val="0"/>
        </c:title>
        <c:numFmt formatCode="#,##0" sourceLinked="0"/>
        <c:majorTickMark val="out"/>
        <c:minorTickMark val="none"/>
        <c:tickLblPos val="nextTo"/>
        <c:txPr>
          <a:bodyPr/>
          <a:lstStyle/>
          <a:p>
            <a:pPr>
              <a:defRPr sz="1000" b="0">
                <a:solidFill>
                  <a:srgbClr val="00B050"/>
                </a:solidFill>
              </a:defRPr>
            </a:pPr>
            <a:endParaRPr lang="en-US"/>
          </a:p>
        </c:txPr>
        <c:crossAx val="371322096"/>
        <c:crosses val="autoZero"/>
        <c:crossBetween val="between"/>
      </c:valAx>
    </c:plotArea>
    <c:legend>
      <c:legendPos val="b"/>
      <c:layout>
        <c:manualLayout>
          <c:xMode val="edge"/>
          <c:yMode val="edge"/>
          <c:x val="2.3239789831465876E-2"/>
          <c:y val="0.81995028241624546"/>
          <c:w val="0.94215320487536447"/>
          <c:h val="0.15773115274356075"/>
        </c:manualLayout>
      </c:layout>
      <c:overlay val="0"/>
      <c:txPr>
        <a:bodyPr/>
        <a:lstStyle/>
        <a:p>
          <a:pPr>
            <a:defRPr sz="1000" b="0"/>
          </a:pPr>
          <a:endParaRPr lang="en-US"/>
        </a:p>
      </c:txPr>
    </c:legend>
    <c:plotVisOnly val="1"/>
    <c:dispBlanksAs val="gap"/>
    <c:showDLblsOverMax val="0"/>
  </c:chart>
  <c:txPr>
    <a:bodyPr/>
    <a:lstStyle/>
    <a:p>
      <a:pPr algn="ctr">
        <a:defRPr lang="en-AU" sz="1600" b="1" i="0" u="none" strike="noStrike" kern="1200" baseline="0">
          <a:solidFill>
            <a:sysClr val="windowText" lastClr="000000"/>
          </a:solidFill>
          <a:latin typeface="+mn-lt"/>
          <a:ea typeface="+mn-ea"/>
          <a:cs typeface="+mn-cs"/>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Taxes</a:t>
            </a:r>
          </a:p>
        </c:rich>
      </c:tx>
      <c:layout>
        <c:manualLayout>
          <c:xMode val="edge"/>
          <c:yMode val="edge"/>
          <c:x val="0.17684450291593851"/>
          <c:y val="6.4009256907402695E-2"/>
        </c:manualLayout>
      </c:layout>
      <c:overlay val="1"/>
    </c:title>
    <c:autoTitleDeleted val="0"/>
    <c:plotArea>
      <c:layout>
        <c:manualLayout>
          <c:layoutTarget val="inner"/>
          <c:xMode val="edge"/>
          <c:yMode val="edge"/>
          <c:x val="0.15936474354257119"/>
          <c:y val="4.8353794485366745E-2"/>
          <c:w val="0.75040069173596291"/>
          <c:h val="0.49929895859791718"/>
        </c:manualLayout>
      </c:layout>
      <c:barChart>
        <c:barDir val="col"/>
        <c:grouping val="stacked"/>
        <c:varyColors val="0"/>
        <c:ser>
          <c:idx val="0"/>
          <c:order val="0"/>
          <c:tx>
            <c:strRef>
              <c:f>'Mid Case'!$A$679</c:f>
              <c:strCache>
                <c:ptCount val="1"/>
                <c:pt idx="0">
                  <c:v>Royalty - copper</c:v>
                </c:pt>
              </c:strCache>
            </c:strRef>
          </c:tx>
          <c:spPr>
            <a:solidFill>
              <a:srgbClr val="FF9900"/>
            </a:solidFill>
            <a:ln>
              <a:noFill/>
            </a:ln>
          </c:spPr>
          <c:invertIfNegative val="0"/>
          <c:cat>
            <c:numRef>
              <c:f>'Mid Case'!$D$764:$AD$764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'Mid Case'!$D$679:$AD$679</c:f>
              <c:numCache>
                <c:formatCode>#,##0</c:formatCode>
                <c:ptCount val="27"/>
                <c:pt idx="0">
                  <c:v>0</c:v>
                </c:pt>
                <c:pt idx="1">
                  <c:v>0</c:v>
                </c:pt>
                <c:pt idx="2">
                  <c:v>39.168756815878531</c:v>
                </c:pt>
                <c:pt idx="3">
                  <c:v>69.911061666240016</c:v>
                </c:pt>
                <c:pt idx="4">
                  <c:v>74.622576227448448</c:v>
                </c:pt>
                <c:pt idx="5">
                  <c:v>74.614392092825483</c:v>
                </c:pt>
                <c:pt idx="6">
                  <c:v>77.275557589417616</c:v>
                </c:pt>
                <c:pt idx="7">
                  <c:v>70.930306311047005</c:v>
                </c:pt>
                <c:pt idx="8">
                  <c:v>70.492425340360526</c:v>
                </c:pt>
                <c:pt idx="9">
                  <c:v>70.696410743039706</c:v>
                </c:pt>
                <c:pt idx="10">
                  <c:v>70.688257135702727</c:v>
                </c:pt>
                <c:pt idx="11">
                  <c:v>70.680021992292367</c:v>
                </c:pt>
                <c:pt idx="12">
                  <c:v>70.894003977587317</c:v>
                </c:pt>
                <c:pt idx="13">
                  <c:v>68.783459612914825</c:v>
                </c:pt>
                <c:pt idx="14">
                  <c:v>68.325539398928001</c:v>
                </c:pt>
                <c:pt idx="15">
                  <c:v>68.317252387427942</c:v>
                </c:pt>
                <c:pt idx="16">
                  <c:v>88.013367844028153</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0-AFBE-420A-9E0C-E0D2147D2DD6}"/>
            </c:ext>
          </c:extLst>
        </c:ser>
        <c:ser>
          <c:idx val="2"/>
          <c:order val="1"/>
          <c:tx>
            <c:strRef>
              <c:f>'Mid Case'!$A$684</c:f>
              <c:strCache>
                <c:ptCount val="1"/>
                <c:pt idx="0">
                  <c:v>Royalty - moly</c:v>
                </c:pt>
              </c:strCache>
            </c:strRef>
          </c:tx>
          <c:spPr>
            <a:solidFill>
              <a:schemeClr val="accent4">
                <a:lumMod val="75000"/>
              </a:schemeClr>
            </a:solidFill>
          </c:spPr>
          <c:invertIfNegative val="0"/>
          <c:val>
            <c:numRef>
              <c:f>'Mid Case'!$D$684:$AD$684</c:f>
              <c:numCache>
                <c:formatCode>#,##0.0</c:formatCode>
                <c:ptCount val="27"/>
                <c:pt idx="0">
                  <c:v>0</c:v>
                </c:pt>
                <c:pt idx="1">
                  <c:v>0</c:v>
                </c:pt>
                <c:pt idx="2">
                  <c:v>6.9261567992717321</c:v>
                </c:pt>
                <c:pt idx="3">
                  <c:v>12.991791087118797</c:v>
                </c:pt>
                <c:pt idx="4">
                  <c:v>14.188127261538458</c:v>
                </c:pt>
                <c:pt idx="5">
                  <c:v>14.188127261538458</c:v>
                </c:pt>
                <c:pt idx="6">
                  <c:v>14.660365225125169</c:v>
                </c:pt>
                <c:pt idx="7">
                  <c:v>10.5518949419208</c:v>
                </c:pt>
                <c:pt idx="8">
                  <c:v>6.2335411193445598</c:v>
                </c:pt>
                <c:pt idx="9">
                  <c:v>5.320547723076924</c:v>
                </c:pt>
                <c:pt idx="10">
                  <c:v>5.320547723076924</c:v>
                </c:pt>
                <c:pt idx="11">
                  <c:v>5.320547723076924</c:v>
                </c:pt>
                <c:pt idx="12">
                  <c:v>7.1622757810650883</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1-AFBE-420A-9E0C-E0D2147D2DD6}"/>
            </c:ext>
          </c:extLst>
        </c:ser>
        <c:ser>
          <c:idx val="3"/>
          <c:order val="2"/>
          <c:tx>
            <c:strRef>
              <c:f>'Mid Case'!$A$689</c:f>
              <c:strCache>
                <c:ptCount val="1"/>
                <c:pt idx="0">
                  <c:v>Royalty - gold</c:v>
                </c:pt>
              </c:strCache>
            </c:strRef>
          </c:tx>
          <c:spPr>
            <a:solidFill>
              <a:srgbClr val="FFFF00"/>
            </a:solidFill>
          </c:spPr>
          <c:invertIfNegative val="0"/>
          <c:val>
            <c:numRef>
              <c:f>'Mid Case'!$D$689:$AD$689</c:f>
              <c:numCache>
                <c:formatCode>#,##0.0</c:formatCode>
                <c:ptCount val="27"/>
                <c:pt idx="0">
                  <c:v>0</c:v>
                </c:pt>
                <c:pt idx="1">
                  <c:v>0</c:v>
                </c:pt>
                <c:pt idx="2">
                  <c:v>3.3338178314626639</c:v>
                </c:pt>
                <c:pt idx="3">
                  <c:v>5.9510645293128439</c:v>
                </c:pt>
                <c:pt idx="4">
                  <c:v>6.3528142468463997</c:v>
                </c:pt>
                <c:pt idx="5">
                  <c:v>6.3528142468463997</c:v>
                </c:pt>
                <c:pt idx="6">
                  <c:v>6.580120008082492</c:v>
                </c:pt>
                <c:pt idx="7">
                  <c:v>5.8470517196681513</c:v>
                </c:pt>
                <c:pt idx="8">
                  <c:v>5.6140152200750215</c:v>
                </c:pt>
                <c:pt idx="9">
                  <c:v>5.6309035369774918</c:v>
                </c:pt>
                <c:pt idx="10">
                  <c:v>5.6309035369774918</c:v>
                </c:pt>
                <c:pt idx="11">
                  <c:v>5.6309035369774918</c:v>
                </c:pt>
                <c:pt idx="12">
                  <c:v>5.677156048149552</c:v>
                </c:pt>
                <c:pt idx="13">
                  <c:v>5.23196437821891</c:v>
                </c:pt>
                <c:pt idx="14">
                  <c:v>5.1977571110561467</c:v>
                </c:pt>
                <c:pt idx="15">
                  <c:v>5.1977571110561467</c:v>
                </c:pt>
                <c:pt idx="16">
                  <c:v>6.6971101238608064</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2-AFBE-420A-9E0C-E0D2147D2DD6}"/>
            </c:ext>
          </c:extLst>
        </c:ser>
        <c:ser>
          <c:idx val="4"/>
          <c:order val="3"/>
          <c:tx>
            <c:strRef>
              <c:f>'Mid Case'!$A$694</c:f>
              <c:strCache>
                <c:ptCount val="1"/>
                <c:pt idx="0">
                  <c:v>Royalty - silver</c:v>
                </c:pt>
              </c:strCache>
            </c:strRef>
          </c:tx>
          <c:spPr>
            <a:solidFill>
              <a:schemeClr val="bg1">
                <a:lumMod val="85000"/>
              </a:schemeClr>
            </a:solidFill>
          </c:spPr>
          <c:invertIfNegative val="0"/>
          <c:val>
            <c:numRef>
              <c:f>'Mid Case'!$D$694:$AD$694</c:f>
              <c:numCache>
                <c:formatCode>#,##0.0</c:formatCode>
                <c:ptCount val="27"/>
                <c:pt idx="0">
                  <c:v>0</c:v>
                </c:pt>
                <c:pt idx="1">
                  <c:v>0</c:v>
                </c:pt>
                <c:pt idx="2">
                  <c:v>7.3643267778425253E-2</c:v>
                </c:pt>
                <c:pt idx="3">
                  <c:v>0.1314576443148352</c:v>
                </c:pt>
                <c:pt idx="4">
                  <c:v>0.14033220301117819</c:v>
                </c:pt>
                <c:pt idx="5">
                  <c:v>0.14033220301117819</c:v>
                </c:pt>
                <c:pt idx="6">
                  <c:v>0.14535333490516181</c:v>
                </c:pt>
                <c:pt idx="7">
                  <c:v>2.6265497967851562E-2</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3-AFBE-420A-9E0C-E0D2147D2DD6}"/>
            </c:ext>
          </c:extLst>
        </c:ser>
        <c:ser>
          <c:idx val="1"/>
          <c:order val="4"/>
          <c:tx>
            <c:strRef>
              <c:f>'Mid Case'!$A$735</c:f>
              <c:strCache>
                <c:ptCount val="1"/>
                <c:pt idx="0">
                  <c:v>Income Tax - National</c:v>
                </c:pt>
              </c:strCache>
            </c:strRef>
          </c:tx>
          <c:spPr>
            <a:solidFill>
              <a:srgbClr val="FF0000"/>
            </a:solidFill>
          </c:spPr>
          <c:invertIfNegative val="0"/>
          <c:cat>
            <c:numRef>
              <c:f>'Mid Case'!$D$764:$AD$764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'Mid Case'!$D$735:$AD$735</c:f>
              <c:numCache>
                <c:formatCode>#,##0</c:formatCode>
                <c:ptCount val="27"/>
                <c:pt idx="0">
                  <c:v>0</c:v>
                </c:pt>
                <c:pt idx="1">
                  <c:v>0</c:v>
                </c:pt>
                <c:pt idx="2">
                  <c:v>0</c:v>
                </c:pt>
                <c:pt idx="3">
                  <c:v>0</c:v>
                </c:pt>
                <c:pt idx="4">
                  <c:v>51.38910684882174</c:v>
                </c:pt>
                <c:pt idx="5">
                  <c:v>95.850128641540024</c:v>
                </c:pt>
                <c:pt idx="6">
                  <c:v>88.891765878993183</c:v>
                </c:pt>
                <c:pt idx="7">
                  <c:v>62.420986126584026</c:v>
                </c:pt>
                <c:pt idx="8">
                  <c:v>41.262279085739081</c:v>
                </c:pt>
                <c:pt idx="9">
                  <c:v>37.566636368292919</c:v>
                </c:pt>
                <c:pt idx="10">
                  <c:v>37.948862871080266</c:v>
                </c:pt>
                <c:pt idx="11">
                  <c:v>37.83221486925062</c:v>
                </c:pt>
                <c:pt idx="12">
                  <c:v>53.216996551869855</c:v>
                </c:pt>
                <c:pt idx="13">
                  <c:v>49.002436672446109</c:v>
                </c:pt>
                <c:pt idx="14">
                  <c:v>47.315410100222934</c:v>
                </c:pt>
                <c:pt idx="15">
                  <c:v>63.305181514558896</c:v>
                </c:pt>
                <c:pt idx="16">
                  <c:v>31.872138809371524</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4-AFBE-420A-9E0C-E0D2147D2DD6}"/>
            </c:ext>
          </c:extLst>
        </c:ser>
        <c:dLbls>
          <c:showLegendKey val="0"/>
          <c:showVal val="0"/>
          <c:showCatName val="0"/>
          <c:showSerName val="0"/>
          <c:showPercent val="0"/>
          <c:showBubbleSize val="0"/>
        </c:dLbls>
        <c:gapWidth val="0"/>
        <c:overlap val="100"/>
        <c:axId val="371402936"/>
        <c:axId val="371399016"/>
      </c:barChart>
      <c:catAx>
        <c:axId val="371402936"/>
        <c:scaling>
          <c:orientation val="minMax"/>
        </c:scaling>
        <c:delete val="0"/>
        <c:axPos val="b"/>
        <c:numFmt formatCode="0" sourceLinked="1"/>
        <c:majorTickMark val="out"/>
        <c:minorTickMark val="none"/>
        <c:tickLblPos val="nextTo"/>
        <c:txPr>
          <a:bodyPr/>
          <a:lstStyle/>
          <a:p>
            <a:pPr>
              <a:defRPr sz="1000" b="0"/>
            </a:pPr>
            <a:endParaRPr lang="en-US"/>
          </a:p>
        </c:txPr>
        <c:crossAx val="371399016"/>
        <c:crosses val="autoZero"/>
        <c:auto val="1"/>
        <c:lblAlgn val="ctr"/>
        <c:lblOffset val="100"/>
        <c:noMultiLvlLbl val="0"/>
      </c:catAx>
      <c:valAx>
        <c:axId val="371399016"/>
        <c:scaling>
          <c:orientation val="minMax"/>
        </c:scaling>
        <c:delete val="0"/>
        <c:axPos val="l"/>
        <c:majorGridlines/>
        <c:title>
          <c:tx>
            <c:rich>
              <a:bodyPr rot="-5400000" vert="horz"/>
              <a:lstStyle/>
              <a:p>
                <a:pPr>
                  <a:defRPr sz="1200" b="0"/>
                </a:pPr>
                <a:r>
                  <a:rPr lang="en-US" sz="1200" b="0"/>
                  <a:t>A$ millions</a:t>
                </a:r>
              </a:p>
            </c:rich>
          </c:tx>
          <c:layout>
            <c:manualLayout>
              <c:xMode val="edge"/>
              <c:yMode val="edge"/>
              <c:x val="1.2398447273530061E-2"/>
              <c:y val="0.16465181629248016"/>
            </c:manualLayout>
          </c:layout>
          <c:overlay val="0"/>
        </c:title>
        <c:numFmt formatCode="#,##0" sourceLinked="1"/>
        <c:majorTickMark val="out"/>
        <c:minorTickMark val="none"/>
        <c:tickLblPos val="nextTo"/>
        <c:txPr>
          <a:bodyPr/>
          <a:lstStyle/>
          <a:p>
            <a:pPr>
              <a:defRPr sz="1000" b="0"/>
            </a:pPr>
            <a:endParaRPr lang="en-US"/>
          </a:p>
        </c:txPr>
        <c:crossAx val="371402936"/>
        <c:crosses val="autoZero"/>
        <c:crossBetween val="between"/>
      </c:valAx>
    </c:plotArea>
    <c:legend>
      <c:legendPos val="b"/>
      <c:layout>
        <c:manualLayout>
          <c:xMode val="edge"/>
          <c:yMode val="edge"/>
          <c:x val="2.7008332187902939E-2"/>
          <c:y val="0.72157367425845964"/>
          <c:w val="0.93731471845321079"/>
          <c:h val="0.27842632574154036"/>
        </c:manualLayout>
      </c:layout>
      <c:overlay val="0"/>
      <c:txPr>
        <a:bodyPr/>
        <a:lstStyle/>
        <a:p>
          <a:pPr>
            <a:defRPr sz="1000" b="0"/>
          </a:pPr>
          <a:endParaRPr lang="en-US"/>
        </a:p>
      </c:txPr>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600" b="1" i="0" u="none" strike="noStrike" kern="1200" baseline="0">
                <a:solidFill>
                  <a:sysClr val="windowText" lastClr="000000"/>
                </a:solidFill>
                <a:latin typeface="+mn-lt"/>
                <a:ea typeface="+mn-ea"/>
                <a:cs typeface="+mn-cs"/>
              </a:defRPr>
            </a:pPr>
            <a:r>
              <a:rPr lang="en-US" sz="1600" b="1" i="0" u="none" strike="noStrike" kern="1200" baseline="0">
                <a:solidFill>
                  <a:sysClr val="windowText" lastClr="000000"/>
                </a:solidFill>
                <a:latin typeface="+mn-lt"/>
                <a:ea typeface="+mn-ea"/>
                <a:cs typeface="+mn-cs"/>
              </a:rPr>
              <a:t>Processing</a:t>
            </a:r>
          </a:p>
        </c:rich>
      </c:tx>
      <c:layout>
        <c:manualLayout>
          <c:xMode val="edge"/>
          <c:yMode val="edge"/>
          <c:x val="0.23736208441087681"/>
          <c:y val="2.0935408906038341E-2"/>
        </c:manualLayout>
      </c:layout>
      <c:overlay val="1"/>
    </c:title>
    <c:autoTitleDeleted val="0"/>
    <c:plotArea>
      <c:layout>
        <c:manualLayout>
          <c:layoutTarget val="inner"/>
          <c:xMode val="edge"/>
          <c:yMode val="edge"/>
          <c:x val="0.1628365632422254"/>
          <c:y val="9.7587669453689477E-2"/>
          <c:w val="0.70095679006338318"/>
          <c:h val="0.48627627416291447"/>
        </c:manualLayout>
      </c:layout>
      <c:barChart>
        <c:barDir val="col"/>
        <c:grouping val="clustered"/>
        <c:varyColors val="0"/>
        <c:ser>
          <c:idx val="0"/>
          <c:order val="0"/>
          <c:tx>
            <c:strRef>
              <c:f>'Mid Case'!$A$154</c:f>
              <c:strCache>
                <c:ptCount val="1"/>
                <c:pt idx="0">
                  <c:v>ore feed to processing - aggregate</c:v>
                </c:pt>
              </c:strCache>
            </c:strRef>
          </c:tx>
          <c:spPr>
            <a:solidFill>
              <a:schemeClr val="accent3">
                <a:lumMod val="40000"/>
                <a:lumOff val="60000"/>
              </a:schemeClr>
            </a:solidFill>
            <a:ln>
              <a:noFill/>
            </a:ln>
          </c:spPr>
          <c:invertIfNegative val="0"/>
          <c:cat>
            <c:numRef>
              <c:f>'Mid Case'!$D$764:$AD$764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'Mid Case'!$D$154:$AD$154</c:f>
              <c:numCache>
                <c:formatCode>#,##0</c:formatCode>
                <c:ptCount val="27"/>
                <c:pt idx="2" formatCode="#,##0.0">
                  <c:v>5.0769230769230766</c:v>
                </c:pt>
                <c:pt idx="3" formatCode="#,##0.0">
                  <c:v>8</c:v>
                </c:pt>
                <c:pt idx="4" formatCode="#,##0.0">
                  <c:v>8</c:v>
                </c:pt>
                <c:pt idx="5" formatCode="#,##0.0">
                  <c:v>8</c:v>
                </c:pt>
                <c:pt idx="6" formatCode="#,##0.0">
                  <c:v>8.3461538461538467</c:v>
                </c:pt>
                <c:pt idx="7" formatCode="#,##0.0">
                  <c:v>7.6538461538461533</c:v>
                </c:pt>
                <c:pt idx="8" formatCode="#,##0.0">
                  <c:v>8</c:v>
                </c:pt>
                <c:pt idx="9" formatCode="#,##0.0">
                  <c:v>8</c:v>
                </c:pt>
                <c:pt idx="10" formatCode="#,##0.0">
                  <c:v>8</c:v>
                </c:pt>
                <c:pt idx="11" formatCode="#,##0.0">
                  <c:v>8</c:v>
                </c:pt>
                <c:pt idx="12" formatCode="#,##0.0">
                  <c:v>8</c:v>
                </c:pt>
                <c:pt idx="13" formatCode="#,##0.0">
                  <c:v>8</c:v>
                </c:pt>
                <c:pt idx="14" formatCode="#,##0.0">
                  <c:v>8</c:v>
                </c:pt>
                <c:pt idx="15" formatCode="#,##0.0">
                  <c:v>8</c:v>
                </c:pt>
                <c:pt idx="16" formatCode="#,##0.0">
                  <c:v>8.9230769230769234</c:v>
                </c:pt>
                <c:pt idx="17" formatCode="#,##0.0">
                  <c:v>0</c:v>
                </c:pt>
                <c:pt idx="18" formatCode="#,##0.0">
                  <c:v>0</c:v>
                </c:pt>
                <c:pt idx="19" formatCode="#,##0.0">
                  <c:v>0</c:v>
                </c:pt>
                <c:pt idx="20" formatCode="#,##0.0">
                  <c:v>0</c:v>
                </c:pt>
                <c:pt idx="21" formatCode="#,##0.0">
                  <c:v>0</c:v>
                </c:pt>
                <c:pt idx="22" formatCode="#,##0.0">
                  <c:v>0</c:v>
                </c:pt>
                <c:pt idx="23" formatCode="#,##0.0">
                  <c:v>0</c:v>
                </c:pt>
                <c:pt idx="24" formatCode="#,##0.0">
                  <c:v>0</c:v>
                </c:pt>
                <c:pt idx="25" formatCode="#,##0.0">
                  <c:v>0</c:v>
                </c:pt>
                <c:pt idx="26" formatCode="#,##0.0">
                  <c:v>0</c:v>
                </c:pt>
              </c:numCache>
            </c:numRef>
          </c:val>
          <c:extLst>
            <c:ext xmlns:c16="http://schemas.microsoft.com/office/drawing/2014/chart" uri="{C3380CC4-5D6E-409C-BE32-E72D297353CC}">
              <c16:uniqueId val="{00000000-B0E9-4684-A046-7AB0423D0596}"/>
            </c:ext>
          </c:extLst>
        </c:ser>
        <c:dLbls>
          <c:showLegendKey val="0"/>
          <c:showVal val="0"/>
          <c:showCatName val="0"/>
          <c:showSerName val="0"/>
          <c:showPercent val="0"/>
          <c:showBubbleSize val="0"/>
        </c:dLbls>
        <c:gapWidth val="0"/>
        <c:axId val="314920640"/>
        <c:axId val="314921816"/>
      </c:barChart>
      <c:lineChart>
        <c:grouping val="standard"/>
        <c:varyColors val="0"/>
        <c:ser>
          <c:idx val="3"/>
          <c:order val="1"/>
          <c:tx>
            <c:strRef>
              <c:f>'Mid Case'!$A$162</c:f>
              <c:strCache>
                <c:ptCount val="1"/>
                <c:pt idx="0">
                  <c:v>Recovery - copper</c:v>
                </c:pt>
              </c:strCache>
            </c:strRef>
          </c:tx>
          <c:spPr>
            <a:ln w="38100">
              <a:solidFill>
                <a:srgbClr val="FFC000"/>
              </a:solidFill>
            </a:ln>
          </c:spPr>
          <c:marker>
            <c:symbol val="none"/>
          </c:marker>
          <c:cat>
            <c:numRef>
              <c:f>'Mid Case'!$D$94:$AD$94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'Mid Case'!$D$162:$AD$162</c:f>
              <c:numCache>
                <c:formatCode>0.0%</c:formatCode>
                <c:ptCount val="27"/>
                <c:pt idx="0">
                  <c:v>0.88</c:v>
                </c:pt>
                <c:pt idx="1">
                  <c:v>0.88</c:v>
                </c:pt>
                <c:pt idx="2">
                  <c:v>0.88</c:v>
                </c:pt>
                <c:pt idx="3">
                  <c:v>0.88</c:v>
                </c:pt>
                <c:pt idx="4">
                  <c:v>0.88</c:v>
                </c:pt>
                <c:pt idx="5">
                  <c:v>0.88</c:v>
                </c:pt>
                <c:pt idx="6">
                  <c:v>0.88</c:v>
                </c:pt>
                <c:pt idx="7">
                  <c:v>0.88</c:v>
                </c:pt>
                <c:pt idx="8">
                  <c:v>0.88</c:v>
                </c:pt>
                <c:pt idx="9">
                  <c:v>0.88</c:v>
                </c:pt>
                <c:pt idx="10">
                  <c:v>0.88</c:v>
                </c:pt>
                <c:pt idx="11">
                  <c:v>0.88</c:v>
                </c:pt>
                <c:pt idx="12">
                  <c:v>0.88</c:v>
                </c:pt>
                <c:pt idx="13">
                  <c:v>0.88</c:v>
                </c:pt>
                <c:pt idx="14">
                  <c:v>0.88</c:v>
                </c:pt>
                <c:pt idx="15">
                  <c:v>0.88</c:v>
                </c:pt>
                <c:pt idx="16">
                  <c:v>0.88</c:v>
                </c:pt>
                <c:pt idx="17">
                  <c:v>0.88</c:v>
                </c:pt>
                <c:pt idx="18">
                  <c:v>0.88</c:v>
                </c:pt>
                <c:pt idx="19">
                  <c:v>0.88</c:v>
                </c:pt>
                <c:pt idx="20">
                  <c:v>0.88</c:v>
                </c:pt>
                <c:pt idx="21">
                  <c:v>0.88</c:v>
                </c:pt>
                <c:pt idx="22">
                  <c:v>0.88</c:v>
                </c:pt>
                <c:pt idx="23">
                  <c:v>0.88</c:v>
                </c:pt>
                <c:pt idx="24">
                  <c:v>0.88</c:v>
                </c:pt>
                <c:pt idx="25">
                  <c:v>0.88</c:v>
                </c:pt>
                <c:pt idx="26">
                  <c:v>0.88</c:v>
                </c:pt>
              </c:numCache>
            </c:numRef>
          </c:val>
          <c:smooth val="0"/>
          <c:extLst>
            <c:ext xmlns:c16="http://schemas.microsoft.com/office/drawing/2014/chart" uri="{C3380CC4-5D6E-409C-BE32-E72D297353CC}">
              <c16:uniqueId val="{00000001-B0E9-4684-A046-7AB0423D0596}"/>
            </c:ext>
          </c:extLst>
        </c:ser>
        <c:ser>
          <c:idx val="4"/>
          <c:order val="2"/>
          <c:tx>
            <c:strRef>
              <c:f>'Mid Case'!$A$163</c:f>
              <c:strCache>
                <c:ptCount val="1"/>
                <c:pt idx="0">
                  <c:v>Recovery - gold</c:v>
                </c:pt>
              </c:strCache>
            </c:strRef>
          </c:tx>
          <c:spPr>
            <a:ln w="57150">
              <a:solidFill>
                <a:srgbClr val="FFFF00"/>
              </a:solidFill>
              <a:prstDash val="sysDash"/>
            </a:ln>
          </c:spPr>
          <c:marker>
            <c:symbol val="none"/>
          </c:marker>
          <c:cat>
            <c:numRef>
              <c:f>'Mid Case'!$D$94:$AD$94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'Mid Case'!$D$163:$AD$163</c:f>
              <c:numCache>
                <c:formatCode>0.0%</c:formatCode>
                <c:ptCount val="27"/>
                <c:pt idx="0">
                  <c:v>0.77</c:v>
                </c:pt>
                <c:pt idx="1">
                  <c:v>0.77</c:v>
                </c:pt>
                <c:pt idx="2">
                  <c:v>0.77</c:v>
                </c:pt>
                <c:pt idx="3">
                  <c:v>0.77</c:v>
                </c:pt>
                <c:pt idx="4">
                  <c:v>0.77</c:v>
                </c:pt>
                <c:pt idx="5">
                  <c:v>0.77</c:v>
                </c:pt>
                <c:pt idx="6">
                  <c:v>0.77</c:v>
                </c:pt>
                <c:pt idx="7">
                  <c:v>0.77</c:v>
                </c:pt>
                <c:pt idx="8">
                  <c:v>0.77</c:v>
                </c:pt>
                <c:pt idx="9">
                  <c:v>0.77</c:v>
                </c:pt>
                <c:pt idx="10">
                  <c:v>0.77</c:v>
                </c:pt>
                <c:pt idx="11">
                  <c:v>0.77</c:v>
                </c:pt>
                <c:pt idx="12">
                  <c:v>0.77</c:v>
                </c:pt>
                <c:pt idx="13">
                  <c:v>0.77</c:v>
                </c:pt>
                <c:pt idx="14">
                  <c:v>0.77</c:v>
                </c:pt>
                <c:pt idx="15">
                  <c:v>0.77</c:v>
                </c:pt>
                <c:pt idx="16">
                  <c:v>0.77</c:v>
                </c:pt>
                <c:pt idx="17">
                  <c:v>0.77</c:v>
                </c:pt>
                <c:pt idx="18">
                  <c:v>0.77</c:v>
                </c:pt>
                <c:pt idx="19">
                  <c:v>0.77</c:v>
                </c:pt>
                <c:pt idx="20">
                  <c:v>0.77</c:v>
                </c:pt>
                <c:pt idx="21">
                  <c:v>0.77</c:v>
                </c:pt>
                <c:pt idx="22">
                  <c:v>0.77</c:v>
                </c:pt>
                <c:pt idx="23">
                  <c:v>0.77</c:v>
                </c:pt>
                <c:pt idx="24">
                  <c:v>0.77</c:v>
                </c:pt>
                <c:pt idx="25">
                  <c:v>0.77</c:v>
                </c:pt>
                <c:pt idx="26">
                  <c:v>0.77</c:v>
                </c:pt>
              </c:numCache>
            </c:numRef>
          </c:val>
          <c:smooth val="0"/>
          <c:extLst>
            <c:ext xmlns:c16="http://schemas.microsoft.com/office/drawing/2014/chart" uri="{C3380CC4-5D6E-409C-BE32-E72D297353CC}">
              <c16:uniqueId val="{00000002-B0E9-4684-A046-7AB0423D0596}"/>
            </c:ext>
          </c:extLst>
        </c:ser>
        <c:ser>
          <c:idx val="1"/>
          <c:order val="3"/>
          <c:tx>
            <c:strRef>
              <c:f>'Mid Case'!$A$176</c:f>
              <c:strCache>
                <c:ptCount val="1"/>
                <c:pt idx="0">
                  <c:v>Recovery - moly</c:v>
                </c:pt>
              </c:strCache>
            </c:strRef>
          </c:tx>
          <c:spPr>
            <a:ln w="41275">
              <a:solidFill>
                <a:schemeClr val="accent4">
                  <a:lumMod val="75000"/>
                </a:schemeClr>
              </a:solidFill>
              <a:prstDash val="sysDash"/>
            </a:ln>
          </c:spPr>
          <c:marker>
            <c:symbol val="none"/>
          </c:marker>
          <c:cat>
            <c:numRef>
              <c:f>'Mid Case'!$D$94:$AD$94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'Mid Case'!$D$176:$AD$176</c:f>
              <c:numCache>
                <c:formatCode>0%</c:formatCode>
                <c:ptCount val="27"/>
                <c:pt idx="0">
                  <c:v>0.7</c:v>
                </c:pt>
                <c:pt idx="1">
                  <c:v>0.7</c:v>
                </c:pt>
                <c:pt idx="2">
                  <c:v>0.7</c:v>
                </c:pt>
                <c:pt idx="3">
                  <c:v>0.7</c:v>
                </c:pt>
                <c:pt idx="4">
                  <c:v>0.7</c:v>
                </c:pt>
                <c:pt idx="5">
                  <c:v>0.7</c:v>
                </c:pt>
                <c:pt idx="6">
                  <c:v>0.7</c:v>
                </c:pt>
                <c:pt idx="7">
                  <c:v>0.7</c:v>
                </c:pt>
                <c:pt idx="8">
                  <c:v>0.7</c:v>
                </c:pt>
                <c:pt idx="9">
                  <c:v>0.7</c:v>
                </c:pt>
                <c:pt idx="10">
                  <c:v>0.7</c:v>
                </c:pt>
                <c:pt idx="11">
                  <c:v>0.7</c:v>
                </c:pt>
                <c:pt idx="12">
                  <c:v>0.7</c:v>
                </c:pt>
                <c:pt idx="13">
                  <c:v>0.7</c:v>
                </c:pt>
                <c:pt idx="14">
                  <c:v>0.7</c:v>
                </c:pt>
                <c:pt idx="15">
                  <c:v>0.7</c:v>
                </c:pt>
                <c:pt idx="16">
                  <c:v>0.7</c:v>
                </c:pt>
                <c:pt idx="17">
                  <c:v>0.7</c:v>
                </c:pt>
                <c:pt idx="18">
                  <c:v>0.7</c:v>
                </c:pt>
                <c:pt idx="19">
                  <c:v>0.7</c:v>
                </c:pt>
                <c:pt idx="20">
                  <c:v>0.7</c:v>
                </c:pt>
                <c:pt idx="21">
                  <c:v>0.7</c:v>
                </c:pt>
                <c:pt idx="22">
                  <c:v>0.7</c:v>
                </c:pt>
                <c:pt idx="23">
                  <c:v>0.7</c:v>
                </c:pt>
                <c:pt idx="24">
                  <c:v>0.7</c:v>
                </c:pt>
                <c:pt idx="25">
                  <c:v>0.7</c:v>
                </c:pt>
                <c:pt idx="26">
                  <c:v>0.7</c:v>
                </c:pt>
              </c:numCache>
            </c:numRef>
          </c:val>
          <c:smooth val="0"/>
          <c:extLst>
            <c:ext xmlns:c16="http://schemas.microsoft.com/office/drawing/2014/chart" uri="{C3380CC4-5D6E-409C-BE32-E72D297353CC}">
              <c16:uniqueId val="{00000003-B0E9-4684-A046-7AB0423D0596}"/>
            </c:ext>
          </c:extLst>
        </c:ser>
        <c:dLbls>
          <c:showLegendKey val="0"/>
          <c:showVal val="0"/>
          <c:showCatName val="0"/>
          <c:showSerName val="0"/>
          <c:showPercent val="0"/>
          <c:showBubbleSize val="0"/>
        </c:dLbls>
        <c:marker val="1"/>
        <c:smooth val="0"/>
        <c:axId val="314915936"/>
        <c:axId val="371404896"/>
      </c:lineChart>
      <c:catAx>
        <c:axId val="314920640"/>
        <c:scaling>
          <c:orientation val="minMax"/>
        </c:scaling>
        <c:delete val="0"/>
        <c:axPos val="b"/>
        <c:numFmt formatCode="0" sourceLinked="1"/>
        <c:majorTickMark val="out"/>
        <c:minorTickMark val="none"/>
        <c:tickLblPos val="nextTo"/>
        <c:txPr>
          <a:bodyPr/>
          <a:lstStyle/>
          <a:p>
            <a:pPr>
              <a:defRPr sz="1000" b="0"/>
            </a:pPr>
            <a:endParaRPr lang="en-US"/>
          </a:p>
        </c:txPr>
        <c:crossAx val="314921816"/>
        <c:crosses val="autoZero"/>
        <c:auto val="1"/>
        <c:lblAlgn val="ctr"/>
        <c:lblOffset val="100"/>
        <c:noMultiLvlLbl val="0"/>
      </c:catAx>
      <c:valAx>
        <c:axId val="314921816"/>
        <c:scaling>
          <c:orientation val="minMax"/>
        </c:scaling>
        <c:delete val="0"/>
        <c:axPos val="l"/>
        <c:majorGridlines/>
        <c:title>
          <c:tx>
            <c:rich>
              <a:bodyPr rot="-5400000" vert="horz"/>
              <a:lstStyle/>
              <a:p>
                <a:pPr algn="ctr" rtl="0">
                  <a:defRPr lang="en-US" sz="1200" b="1" i="0" u="none" strike="noStrike" kern="1200" baseline="0">
                    <a:solidFill>
                      <a:sysClr val="windowText" lastClr="000000"/>
                    </a:solidFill>
                    <a:latin typeface="+mn-lt"/>
                    <a:ea typeface="+mn-ea"/>
                    <a:cs typeface="+mn-cs"/>
                  </a:defRPr>
                </a:pPr>
                <a:r>
                  <a:rPr lang="en-US" sz="1200" b="1" i="0" u="none" strike="noStrike" kern="1200" baseline="0">
                    <a:solidFill>
                      <a:sysClr val="windowText" lastClr="000000"/>
                    </a:solidFill>
                    <a:latin typeface="+mn-lt"/>
                    <a:ea typeface="+mn-ea"/>
                    <a:cs typeface="+mn-cs"/>
                  </a:rPr>
                  <a:t>millions tonnes</a:t>
                </a:r>
              </a:p>
            </c:rich>
          </c:tx>
          <c:layout>
            <c:manualLayout>
              <c:xMode val="edge"/>
              <c:yMode val="edge"/>
              <c:x val="2.7469094488188975E-2"/>
              <c:y val="0.2384182441878589"/>
            </c:manualLayout>
          </c:layout>
          <c:overlay val="0"/>
        </c:title>
        <c:numFmt formatCode="#,##0" sourceLinked="1"/>
        <c:majorTickMark val="out"/>
        <c:minorTickMark val="none"/>
        <c:tickLblPos val="nextTo"/>
        <c:txPr>
          <a:bodyPr/>
          <a:lstStyle/>
          <a:p>
            <a:pPr>
              <a:defRPr sz="1000" b="0">
                <a:solidFill>
                  <a:sysClr val="windowText" lastClr="000000"/>
                </a:solidFill>
              </a:defRPr>
            </a:pPr>
            <a:endParaRPr lang="en-US"/>
          </a:p>
        </c:txPr>
        <c:crossAx val="314920640"/>
        <c:crosses val="autoZero"/>
        <c:crossBetween val="between"/>
      </c:valAx>
      <c:catAx>
        <c:axId val="314915936"/>
        <c:scaling>
          <c:orientation val="minMax"/>
        </c:scaling>
        <c:delete val="1"/>
        <c:axPos val="b"/>
        <c:numFmt formatCode="0" sourceLinked="1"/>
        <c:majorTickMark val="out"/>
        <c:minorTickMark val="none"/>
        <c:tickLblPos val="none"/>
        <c:crossAx val="371404896"/>
        <c:crosses val="autoZero"/>
        <c:auto val="1"/>
        <c:lblAlgn val="ctr"/>
        <c:lblOffset val="100"/>
        <c:noMultiLvlLbl val="0"/>
      </c:catAx>
      <c:valAx>
        <c:axId val="371404896"/>
        <c:scaling>
          <c:orientation val="minMax"/>
        </c:scaling>
        <c:delete val="0"/>
        <c:axPos val="r"/>
        <c:title>
          <c:tx>
            <c:rich>
              <a:bodyPr rot="-5400000" vert="horz"/>
              <a:lstStyle/>
              <a:p>
                <a:pPr algn="ctr" rtl="0">
                  <a:defRPr lang="en-US" sz="1200" b="1" i="0" u="none" strike="noStrike" kern="1200" baseline="0">
                    <a:solidFill>
                      <a:sysClr val="windowText" lastClr="000000"/>
                    </a:solidFill>
                    <a:latin typeface="+mn-lt"/>
                    <a:ea typeface="+mn-ea"/>
                    <a:cs typeface="+mn-cs"/>
                  </a:defRPr>
                </a:pPr>
                <a:r>
                  <a:rPr lang="en-US" sz="1200" b="1" i="0" u="none" strike="noStrike" kern="1200" baseline="0">
                    <a:solidFill>
                      <a:sysClr val="windowText" lastClr="000000"/>
                    </a:solidFill>
                    <a:latin typeface="+mn-lt"/>
                    <a:ea typeface="+mn-ea"/>
                    <a:cs typeface="+mn-cs"/>
                  </a:rPr>
                  <a:t>Recovery</a:t>
                </a:r>
              </a:p>
            </c:rich>
          </c:tx>
          <c:layout>
            <c:manualLayout>
              <c:xMode val="edge"/>
              <c:yMode val="edge"/>
              <c:x val="0.95342123660978828"/>
              <c:y val="0.30269512730006892"/>
            </c:manualLayout>
          </c:layout>
          <c:overlay val="0"/>
        </c:title>
        <c:numFmt formatCode="0%" sourceLinked="0"/>
        <c:majorTickMark val="out"/>
        <c:minorTickMark val="none"/>
        <c:tickLblPos val="nextTo"/>
        <c:txPr>
          <a:bodyPr/>
          <a:lstStyle/>
          <a:p>
            <a:pPr>
              <a:defRPr sz="900" baseline="0">
                <a:solidFill>
                  <a:sysClr val="windowText" lastClr="000000"/>
                </a:solidFill>
              </a:defRPr>
            </a:pPr>
            <a:endParaRPr lang="en-US"/>
          </a:p>
        </c:txPr>
        <c:crossAx val="314915936"/>
        <c:crosses val="max"/>
        <c:crossBetween val="between"/>
      </c:valAx>
    </c:plotArea>
    <c:legend>
      <c:legendPos val="b"/>
      <c:layout>
        <c:manualLayout>
          <c:xMode val="edge"/>
          <c:yMode val="edge"/>
          <c:x val="1.5630600182165182E-3"/>
          <c:y val="0.71163843058161846"/>
          <c:w val="0.98357553913239948"/>
          <c:h val="0.2556563359220197"/>
        </c:manualLayout>
      </c:layout>
      <c:overlay val="0"/>
      <c:txPr>
        <a:bodyPr/>
        <a:lstStyle/>
        <a:p>
          <a:pPr>
            <a:defRPr sz="1000" b="0"/>
          </a:pPr>
          <a:endParaRPr lang="en-US"/>
        </a:p>
      </c:txPr>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a:pPr>
            <a:r>
              <a:rPr lang="en-US"/>
              <a:t>forecasts of prices and TC</a:t>
            </a:r>
          </a:p>
        </c:rich>
      </c:tx>
      <c:layout>
        <c:manualLayout>
          <c:xMode val="edge"/>
          <c:yMode val="edge"/>
          <c:x val="0.30893885197745996"/>
          <c:y val="2.7203070780342641E-2"/>
        </c:manualLayout>
      </c:layout>
      <c:overlay val="0"/>
    </c:title>
    <c:autoTitleDeleted val="0"/>
    <c:plotArea>
      <c:layout>
        <c:manualLayout>
          <c:layoutTarget val="inner"/>
          <c:xMode val="edge"/>
          <c:yMode val="edge"/>
          <c:x val="0.17265997841640354"/>
          <c:y val="0.12929628817345606"/>
          <c:w val="0.68444781965706059"/>
          <c:h val="0.50615528533472709"/>
        </c:manualLayout>
      </c:layout>
      <c:lineChart>
        <c:grouping val="standard"/>
        <c:varyColors val="0"/>
        <c:ser>
          <c:idx val="3"/>
          <c:order val="1"/>
          <c:tx>
            <c:strRef>
              <c:f>'Mid Case'!$A$227</c:f>
              <c:strCache>
                <c:ptCount val="1"/>
                <c:pt idx="0">
                  <c:v>Copper price forecast - mid case</c:v>
                </c:pt>
              </c:strCache>
            </c:strRef>
          </c:tx>
          <c:spPr>
            <a:ln w="28575">
              <a:solidFill>
                <a:srgbClr val="FFC000"/>
              </a:solidFill>
              <a:prstDash val="solid"/>
            </a:ln>
          </c:spPr>
          <c:marker>
            <c:symbol val="none"/>
          </c:marker>
          <c:cat>
            <c:numRef>
              <c:f>'Mid Case'!$D$94:$AD$94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'Mid Case'!$D$227:$AD$227</c:f>
              <c:numCache>
                <c:formatCode>#,##0.00</c:formatCode>
                <c:ptCount val="27"/>
                <c:pt idx="0">
                  <c:v>4</c:v>
                </c:pt>
                <c:pt idx="1">
                  <c:v>4</c:v>
                </c:pt>
                <c:pt idx="2">
                  <c:v>4</c:v>
                </c:pt>
                <c:pt idx="3">
                  <c:v>4</c:v>
                </c:pt>
                <c:pt idx="4">
                  <c:v>4</c:v>
                </c:pt>
                <c:pt idx="5">
                  <c:v>4</c:v>
                </c:pt>
                <c:pt idx="6">
                  <c:v>4</c:v>
                </c:pt>
                <c:pt idx="7">
                  <c:v>4</c:v>
                </c:pt>
                <c:pt idx="8">
                  <c:v>4</c:v>
                </c:pt>
                <c:pt idx="9">
                  <c:v>4</c:v>
                </c:pt>
                <c:pt idx="10">
                  <c:v>4</c:v>
                </c:pt>
                <c:pt idx="11">
                  <c:v>4</c:v>
                </c:pt>
                <c:pt idx="12">
                  <c:v>4</c:v>
                </c:pt>
                <c:pt idx="13">
                  <c:v>4</c:v>
                </c:pt>
                <c:pt idx="14">
                  <c:v>4</c:v>
                </c:pt>
                <c:pt idx="15">
                  <c:v>4</c:v>
                </c:pt>
                <c:pt idx="16">
                  <c:v>4</c:v>
                </c:pt>
                <c:pt idx="17">
                  <c:v>4</c:v>
                </c:pt>
                <c:pt idx="18">
                  <c:v>4</c:v>
                </c:pt>
                <c:pt idx="19">
                  <c:v>4</c:v>
                </c:pt>
                <c:pt idx="20">
                  <c:v>4</c:v>
                </c:pt>
                <c:pt idx="21">
                  <c:v>4</c:v>
                </c:pt>
                <c:pt idx="22">
                  <c:v>4</c:v>
                </c:pt>
                <c:pt idx="23">
                  <c:v>4</c:v>
                </c:pt>
                <c:pt idx="24">
                  <c:v>4</c:v>
                </c:pt>
                <c:pt idx="25">
                  <c:v>4</c:v>
                </c:pt>
                <c:pt idx="26">
                  <c:v>4</c:v>
                </c:pt>
              </c:numCache>
            </c:numRef>
          </c:val>
          <c:smooth val="0"/>
          <c:extLst>
            <c:ext xmlns:c16="http://schemas.microsoft.com/office/drawing/2014/chart" uri="{C3380CC4-5D6E-409C-BE32-E72D297353CC}">
              <c16:uniqueId val="{00000000-FA20-4ACA-8B69-FBB31E9ED620}"/>
            </c:ext>
          </c:extLst>
        </c:ser>
        <c:dLbls>
          <c:showLegendKey val="0"/>
          <c:showVal val="0"/>
          <c:showCatName val="0"/>
          <c:showSerName val="0"/>
          <c:showPercent val="0"/>
          <c:showBubbleSize val="0"/>
        </c:dLbls>
        <c:marker val="1"/>
        <c:smooth val="0"/>
        <c:axId val="371400976"/>
        <c:axId val="371399800"/>
      </c:lineChart>
      <c:lineChart>
        <c:grouping val="standard"/>
        <c:varyColors val="0"/>
        <c:ser>
          <c:idx val="0"/>
          <c:order val="0"/>
          <c:tx>
            <c:strRef>
              <c:f>'Mid Case'!$A$105</c:f>
              <c:strCache>
                <c:ptCount val="1"/>
                <c:pt idx="0">
                  <c:v>copper conc - treatment terms - mid case</c:v>
                </c:pt>
              </c:strCache>
            </c:strRef>
          </c:tx>
          <c:spPr>
            <a:ln w="63500">
              <a:solidFill>
                <a:srgbClr val="92D050"/>
              </a:solidFill>
              <a:prstDash val="sysDot"/>
            </a:ln>
          </c:spPr>
          <c:marker>
            <c:symbol val="none"/>
          </c:marker>
          <c:cat>
            <c:numRef>
              <c:f>'Mid Case'!$D$94:$AD$94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'Mid Case'!$D$105:$AD$105</c:f>
              <c:numCache>
                <c:formatCode>#,##0.00</c:formatCode>
                <c:ptCount val="27"/>
                <c:pt idx="0">
                  <c:v>100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pt idx="16">
                  <c:v>80</c:v>
                </c:pt>
                <c:pt idx="17">
                  <c:v>80</c:v>
                </c:pt>
                <c:pt idx="18">
                  <c:v>80</c:v>
                </c:pt>
                <c:pt idx="19">
                  <c:v>80</c:v>
                </c:pt>
                <c:pt idx="20">
                  <c:v>80</c:v>
                </c:pt>
                <c:pt idx="21">
                  <c:v>80</c:v>
                </c:pt>
                <c:pt idx="22">
                  <c:v>80</c:v>
                </c:pt>
                <c:pt idx="23">
                  <c:v>80</c:v>
                </c:pt>
                <c:pt idx="24">
                  <c:v>80</c:v>
                </c:pt>
                <c:pt idx="25">
                  <c:v>80</c:v>
                </c:pt>
                <c:pt idx="26">
                  <c:v>80</c:v>
                </c:pt>
              </c:numCache>
            </c:numRef>
          </c:val>
          <c:smooth val="0"/>
          <c:extLst>
            <c:ext xmlns:c16="http://schemas.microsoft.com/office/drawing/2014/chart" uri="{C3380CC4-5D6E-409C-BE32-E72D297353CC}">
              <c16:uniqueId val="{00000001-FA20-4ACA-8B69-FBB31E9ED620}"/>
            </c:ext>
          </c:extLst>
        </c:ser>
        <c:ser>
          <c:idx val="2"/>
          <c:order val="2"/>
          <c:tx>
            <c:strRef>
              <c:f>'Mid Case'!$A$291</c:f>
              <c:strCache>
                <c:ptCount val="1"/>
                <c:pt idx="0">
                  <c:v>Moly price forecast - mid case</c:v>
                </c:pt>
              </c:strCache>
            </c:strRef>
          </c:tx>
          <c:spPr>
            <a:ln w="28575">
              <a:solidFill>
                <a:schemeClr val="accent4">
                  <a:lumMod val="50000"/>
                </a:schemeClr>
              </a:solidFill>
              <a:prstDash val="dash"/>
            </a:ln>
          </c:spPr>
          <c:marker>
            <c:symbol val="none"/>
          </c:marker>
          <c:cat>
            <c:numRef>
              <c:f>'Mid Case'!$D$94:$AD$94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'Mid Case'!$D$291:$AD$291</c:f>
              <c:numCache>
                <c:formatCode>#,##0.00</c:formatCode>
                <c:ptCount val="27"/>
                <c:pt idx="0">
                  <c:v>20</c:v>
                </c:pt>
                <c:pt idx="1">
                  <c:v>20</c:v>
                </c:pt>
                <c:pt idx="2">
                  <c:v>20</c:v>
                </c:pt>
                <c:pt idx="3">
                  <c:v>20</c:v>
                </c:pt>
                <c:pt idx="4">
                  <c:v>20</c:v>
                </c:pt>
                <c:pt idx="5">
                  <c:v>20</c:v>
                </c:pt>
                <c:pt idx="6">
                  <c:v>20</c:v>
                </c:pt>
                <c:pt idx="7">
                  <c:v>20</c:v>
                </c:pt>
                <c:pt idx="8">
                  <c:v>20</c:v>
                </c:pt>
                <c:pt idx="9">
                  <c:v>20</c:v>
                </c:pt>
                <c:pt idx="10">
                  <c:v>20</c:v>
                </c:pt>
                <c:pt idx="11">
                  <c:v>20</c:v>
                </c:pt>
                <c:pt idx="12">
                  <c:v>20</c:v>
                </c:pt>
                <c:pt idx="13">
                  <c:v>20</c:v>
                </c:pt>
                <c:pt idx="14">
                  <c:v>20</c:v>
                </c:pt>
                <c:pt idx="15">
                  <c:v>20</c:v>
                </c:pt>
                <c:pt idx="16">
                  <c:v>20</c:v>
                </c:pt>
                <c:pt idx="17">
                  <c:v>20</c:v>
                </c:pt>
                <c:pt idx="18">
                  <c:v>20</c:v>
                </c:pt>
                <c:pt idx="19">
                  <c:v>20</c:v>
                </c:pt>
                <c:pt idx="20">
                  <c:v>20</c:v>
                </c:pt>
                <c:pt idx="21">
                  <c:v>20</c:v>
                </c:pt>
                <c:pt idx="22">
                  <c:v>20</c:v>
                </c:pt>
                <c:pt idx="23">
                  <c:v>20</c:v>
                </c:pt>
                <c:pt idx="24">
                  <c:v>20</c:v>
                </c:pt>
                <c:pt idx="25">
                  <c:v>20</c:v>
                </c:pt>
                <c:pt idx="26">
                  <c:v>20</c:v>
                </c:pt>
              </c:numCache>
            </c:numRef>
          </c:val>
          <c:smooth val="0"/>
          <c:extLst>
            <c:ext xmlns:c16="http://schemas.microsoft.com/office/drawing/2014/chart" uri="{C3380CC4-5D6E-409C-BE32-E72D297353CC}">
              <c16:uniqueId val="{00000002-FA20-4ACA-8B69-FBB31E9ED620}"/>
            </c:ext>
          </c:extLst>
        </c:ser>
        <c:dLbls>
          <c:showLegendKey val="0"/>
          <c:showVal val="0"/>
          <c:showCatName val="0"/>
          <c:showSerName val="0"/>
          <c:showPercent val="0"/>
          <c:showBubbleSize val="0"/>
        </c:dLbls>
        <c:marker val="1"/>
        <c:smooth val="0"/>
        <c:axId val="374918568"/>
        <c:axId val="313662816"/>
      </c:lineChart>
      <c:valAx>
        <c:axId val="371399800"/>
        <c:scaling>
          <c:orientation val="minMax"/>
          <c:max val="5"/>
        </c:scaling>
        <c:delete val="0"/>
        <c:axPos val="l"/>
        <c:title>
          <c:tx>
            <c:rich>
              <a:bodyPr/>
              <a:lstStyle/>
              <a:p>
                <a:pPr algn="ctr" rtl="0">
                  <a:defRPr/>
                </a:pPr>
                <a:r>
                  <a:rPr lang="en-US"/>
                  <a:t>Moly price &amp; Copper Conc  TC</a:t>
                </a:r>
              </a:p>
            </c:rich>
          </c:tx>
          <c:layout>
            <c:manualLayout>
              <c:xMode val="edge"/>
              <c:yMode val="edge"/>
              <c:x val="0.94756637869824434"/>
              <c:y val="5.9848605027408817E-2"/>
            </c:manualLayout>
          </c:layout>
          <c:overlay val="0"/>
        </c:title>
        <c:numFmt formatCode="#,##0.00" sourceLinked="1"/>
        <c:majorTickMark val="out"/>
        <c:minorTickMark val="none"/>
        <c:tickLblPos val="nextTo"/>
        <c:spPr>
          <a:ln>
            <a:solidFill>
              <a:srgbClr val="FFCC66"/>
            </a:solidFill>
          </a:ln>
        </c:spPr>
        <c:crossAx val="371400976"/>
        <c:crosses val="autoZero"/>
        <c:crossBetween val="between"/>
      </c:valAx>
      <c:catAx>
        <c:axId val="371400976"/>
        <c:scaling>
          <c:orientation val="minMax"/>
        </c:scaling>
        <c:delete val="0"/>
        <c:axPos val="b"/>
        <c:numFmt formatCode="0" sourceLinked="1"/>
        <c:majorTickMark val="out"/>
        <c:minorTickMark val="none"/>
        <c:tickLblPos val="nextTo"/>
        <c:crossAx val="371399800"/>
        <c:crosses val="autoZero"/>
        <c:auto val="1"/>
        <c:lblAlgn val="ctr"/>
        <c:lblOffset val="100"/>
        <c:noMultiLvlLbl val="0"/>
      </c:catAx>
      <c:valAx>
        <c:axId val="313662816"/>
        <c:scaling>
          <c:orientation val="minMax"/>
        </c:scaling>
        <c:delete val="0"/>
        <c:axPos val="r"/>
        <c:title>
          <c:tx>
            <c:rich>
              <a:bodyPr/>
              <a:lstStyle/>
              <a:p>
                <a:pPr>
                  <a:defRPr/>
                </a:pPr>
                <a:r>
                  <a:rPr lang="en-US"/>
                  <a:t>Copper   US$/lb</a:t>
                </a:r>
              </a:p>
            </c:rich>
          </c:tx>
          <c:layout>
            <c:manualLayout>
              <c:xMode val="edge"/>
              <c:yMode val="edge"/>
              <c:x val="1.6227991938619696E-2"/>
              <c:y val="0.19461567423699322"/>
            </c:manualLayout>
          </c:layout>
          <c:overlay val="0"/>
        </c:title>
        <c:numFmt formatCode="#,##0" sourceLinked="0"/>
        <c:majorTickMark val="out"/>
        <c:minorTickMark val="none"/>
        <c:tickLblPos val="nextTo"/>
        <c:txPr>
          <a:bodyPr/>
          <a:lstStyle/>
          <a:p>
            <a:pPr algn="ctr">
              <a:defRPr sz="1000" b="0"/>
            </a:pPr>
            <a:endParaRPr lang="en-US"/>
          </a:p>
        </c:txPr>
        <c:crossAx val="374918568"/>
        <c:crosses val="max"/>
        <c:crossBetween val="between"/>
        <c:majorUnit val="1"/>
      </c:valAx>
      <c:catAx>
        <c:axId val="374918568"/>
        <c:scaling>
          <c:orientation val="minMax"/>
        </c:scaling>
        <c:delete val="1"/>
        <c:axPos val="b"/>
        <c:numFmt formatCode="0" sourceLinked="1"/>
        <c:majorTickMark val="out"/>
        <c:minorTickMark val="none"/>
        <c:tickLblPos val="none"/>
        <c:crossAx val="313662816"/>
        <c:crosses val="autoZero"/>
        <c:auto val="1"/>
        <c:lblAlgn val="ctr"/>
        <c:lblOffset val="100"/>
        <c:noMultiLvlLbl val="0"/>
      </c:catAx>
      <c:spPr>
        <a:ln>
          <a:solidFill>
            <a:srgbClr val="FF0000"/>
          </a:solidFill>
          <a:prstDash val="sysDot"/>
        </a:ln>
      </c:spPr>
    </c:plotArea>
    <c:legend>
      <c:legendPos val="b"/>
      <c:layout>
        <c:manualLayout>
          <c:xMode val="edge"/>
          <c:yMode val="edge"/>
          <c:x val="3.7663468355159054E-2"/>
          <c:y val="0.80432415063906681"/>
          <c:w val="0.85389728533286369"/>
          <c:h val="0.19567584936093319"/>
        </c:manualLayout>
      </c:layout>
      <c:overlay val="0"/>
    </c:legend>
    <c:plotVisOnly val="1"/>
    <c:dispBlanksAs val="gap"/>
    <c:showDLblsOverMax val="0"/>
  </c:chart>
  <c:txPr>
    <a:bodyPr/>
    <a:lstStyle/>
    <a:p>
      <a:pPr>
        <a:defRPr sz="1000" b="1"/>
      </a:pPr>
      <a:endParaRPr lang="en-US"/>
    </a:p>
  </c:txPr>
  <c:printSettings>
    <c:headerFooter/>
    <c:pageMargins b="0.75000000000000056" l="0.70000000000000051" r="0.70000000000000051" t="0.75000000000000056" header="0.30000000000000027" footer="0.30000000000000027"/>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Copper Concentrate: </a:t>
            </a:r>
            <a:r>
              <a:rPr lang="en-US" sz="1200" b="0"/>
              <a:t>Selling price of one tonne &amp; contributions from contained metals </a:t>
            </a:r>
            <a:endParaRPr lang="en-US" sz="1400" b="0"/>
          </a:p>
        </c:rich>
      </c:tx>
      <c:layout>
        <c:manualLayout>
          <c:xMode val="edge"/>
          <c:yMode val="edge"/>
          <c:x val="0.1895739348370927"/>
          <c:y val="1.1111111111111112E-2"/>
        </c:manualLayout>
      </c:layout>
      <c:overlay val="1"/>
    </c:title>
    <c:autoTitleDeleted val="0"/>
    <c:plotArea>
      <c:layout>
        <c:manualLayout>
          <c:layoutTarget val="inner"/>
          <c:xMode val="edge"/>
          <c:yMode val="edge"/>
          <c:x val="0.15254090904914597"/>
          <c:y val="0.18470428696412949"/>
          <c:w val="0.8020285008131276"/>
          <c:h val="0.37572106394616667"/>
        </c:manualLayout>
      </c:layout>
      <c:barChart>
        <c:barDir val="col"/>
        <c:grouping val="stacked"/>
        <c:varyColors val="0"/>
        <c:ser>
          <c:idx val="0"/>
          <c:order val="0"/>
          <c:tx>
            <c:strRef>
              <c:f>'Mid Case'!$A$282</c:f>
              <c:strCache>
                <c:ptCount val="1"/>
                <c:pt idx="0">
                  <c:v>copper concentrate - net copper</c:v>
                </c:pt>
              </c:strCache>
            </c:strRef>
          </c:tx>
          <c:spPr>
            <a:solidFill>
              <a:srgbClr val="FFC000"/>
            </a:solidFill>
            <a:ln>
              <a:noFill/>
            </a:ln>
          </c:spPr>
          <c:invertIfNegative val="0"/>
          <c:cat>
            <c:numRef>
              <c:f>'Mid Case'!$D$94:$AD$94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'Mid Case'!$D$282:$AD$282</c:f>
              <c:numCache>
                <c:formatCode>#,##0</c:formatCode>
                <c:ptCount val="27"/>
                <c:pt idx="0">
                  <c:v>0</c:v>
                </c:pt>
                <c:pt idx="1">
                  <c:v>0</c:v>
                </c:pt>
                <c:pt idx="2">
                  <c:v>2509.2824176800004</c:v>
                </c:pt>
                <c:pt idx="3">
                  <c:v>2509.2824176800004</c:v>
                </c:pt>
                <c:pt idx="4">
                  <c:v>2509.2824176800004</c:v>
                </c:pt>
                <c:pt idx="5">
                  <c:v>2509.2824176800004</c:v>
                </c:pt>
                <c:pt idx="6">
                  <c:v>2509.2824176800004</c:v>
                </c:pt>
                <c:pt idx="7">
                  <c:v>2509.2824176800004</c:v>
                </c:pt>
                <c:pt idx="8">
                  <c:v>2509.2824176800004</c:v>
                </c:pt>
                <c:pt idx="9">
                  <c:v>2509.2824176800004</c:v>
                </c:pt>
                <c:pt idx="10">
                  <c:v>2509.2824176800004</c:v>
                </c:pt>
                <c:pt idx="11">
                  <c:v>2509.2824176800004</c:v>
                </c:pt>
                <c:pt idx="12">
                  <c:v>2509.2824176800004</c:v>
                </c:pt>
                <c:pt idx="13">
                  <c:v>2509.2824176800004</c:v>
                </c:pt>
                <c:pt idx="14">
                  <c:v>2509.2824176800004</c:v>
                </c:pt>
                <c:pt idx="15">
                  <c:v>2509.2824176800004</c:v>
                </c:pt>
                <c:pt idx="16">
                  <c:v>2509.2824176800004</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0-65E8-451F-A6DD-8C0B921F98C3}"/>
            </c:ext>
          </c:extLst>
        </c:ser>
        <c:ser>
          <c:idx val="1"/>
          <c:order val="1"/>
          <c:tx>
            <c:strRef>
              <c:f>'Mid Case'!$A$283</c:f>
              <c:strCache>
                <c:ptCount val="1"/>
                <c:pt idx="0">
                  <c:v>copper concentrate - net gold</c:v>
                </c:pt>
              </c:strCache>
            </c:strRef>
          </c:tx>
          <c:spPr>
            <a:solidFill>
              <a:srgbClr val="FFFF00"/>
            </a:solidFill>
          </c:spPr>
          <c:invertIfNegative val="0"/>
          <c:cat>
            <c:numRef>
              <c:f>'Mid Case'!$D$94:$AD$94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'Mid Case'!$D$283:$AD$283</c:f>
              <c:numCache>
                <c:formatCode>#,##0</c:formatCode>
                <c:ptCount val="27"/>
                <c:pt idx="0">
                  <c:v>0</c:v>
                </c:pt>
                <c:pt idx="1">
                  <c:v>0</c:v>
                </c:pt>
                <c:pt idx="2">
                  <c:v>378.81512510048236</c:v>
                </c:pt>
                <c:pt idx="3">
                  <c:v>378.81512510048225</c:v>
                </c:pt>
                <c:pt idx="4">
                  <c:v>378.81512510048225</c:v>
                </c:pt>
                <c:pt idx="5">
                  <c:v>378.81512510048225</c:v>
                </c:pt>
                <c:pt idx="6">
                  <c:v>378.81512510048231</c:v>
                </c:pt>
                <c:pt idx="7">
                  <c:v>366.68415393890666</c:v>
                </c:pt>
                <c:pt idx="8">
                  <c:v>354.21674035369767</c:v>
                </c:pt>
                <c:pt idx="9">
                  <c:v>354.21674035369767</c:v>
                </c:pt>
                <c:pt idx="10">
                  <c:v>354.21674035369767</c:v>
                </c:pt>
                <c:pt idx="11">
                  <c:v>354.21674035369767</c:v>
                </c:pt>
                <c:pt idx="12">
                  <c:v>356.00646704180059</c:v>
                </c:pt>
                <c:pt idx="13">
                  <c:v>338.11597942852967</c:v>
                </c:pt>
                <c:pt idx="14">
                  <c:v>338.11597942852967</c:v>
                </c:pt>
                <c:pt idx="15">
                  <c:v>338.11597942852967</c:v>
                </c:pt>
                <c:pt idx="16">
                  <c:v>338.11597942852973</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1-65E8-451F-A6DD-8C0B921F98C3}"/>
            </c:ext>
          </c:extLst>
        </c:ser>
        <c:ser>
          <c:idx val="2"/>
          <c:order val="2"/>
          <c:tx>
            <c:strRef>
              <c:f>'Mid Case'!$A$284</c:f>
              <c:strCache>
                <c:ptCount val="1"/>
                <c:pt idx="0">
                  <c:v>copper concentrate - net silver</c:v>
                </c:pt>
              </c:strCache>
            </c:strRef>
          </c:tx>
          <c:spPr>
            <a:ln>
              <a:solidFill>
                <a:schemeClr val="bg1">
                  <a:lumMod val="75000"/>
                </a:schemeClr>
              </a:solidFill>
            </a:ln>
          </c:spPr>
          <c:invertIfNegative val="0"/>
          <c:cat>
            <c:numRef>
              <c:f>'Mid Case'!$D$94:$AD$94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'Mid Case'!$D$284:$AD$284</c:f>
              <c:numCache>
                <c:formatCode>#,##0</c:formatCode>
                <c:ptCount val="27"/>
                <c:pt idx="0">
                  <c:v>0</c:v>
                </c:pt>
                <c:pt idx="1">
                  <c:v>0</c:v>
                </c:pt>
                <c:pt idx="2">
                  <c:v>13.946564722790612</c:v>
                </c:pt>
                <c:pt idx="3">
                  <c:v>13.946564722790606</c:v>
                </c:pt>
                <c:pt idx="4">
                  <c:v>13.946564722790606</c:v>
                </c:pt>
                <c:pt idx="5">
                  <c:v>13.946564722790606</c:v>
                </c:pt>
                <c:pt idx="6">
                  <c:v>13.946564722790612</c:v>
                </c:pt>
                <c:pt idx="7">
                  <c:v>2.7452986456201942</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2-65E8-451F-A6DD-8C0B921F98C3}"/>
            </c:ext>
          </c:extLst>
        </c:ser>
        <c:dLbls>
          <c:showLegendKey val="0"/>
          <c:showVal val="0"/>
          <c:showCatName val="0"/>
          <c:showSerName val="0"/>
          <c:showPercent val="0"/>
          <c:showBubbleSize val="0"/>
        </c:dLbls>
        <c:gapWidth val="0"/>
        <c:overlap val="100"/>
        <c:axId val="374916216"/>
        <c:axId val="374917392"/>
      </c:barChart>
      <c:catAx>
        <c:axId val="374916216"/>
        <c:scaling>
          <c:orientation val="minMax"/>
        </c:scaling>
        <c:delete val="0"/>
        <c:axPos val="b"/>
        <c:numFmt formatCode="0" sourceLinked="1"/>
        <c:majorTickMark val="out"/>
        <c:minorTickMark val="none"/>
        <c:tickLblPos val="nextTo"/>
        <c:txPr>
          <a:bodyPr/>
          <a:lstStyle/>
          <a:p>
            <a:pPr algn="ctr">
              <a:defRPr lang="en-US" sz="1000" b="1" i="0" u="none" strike="noStrike" kern="1200" baseline="0">
                <a:solidFill>
                  <a:schemeClr val="tx1"/>
                </a:solidFill>
                <a:latin typeface="+mn-lt"/>
                <a:ea typeface="+mn-ea"/>
                <a:cs typeface="+mn-cs"/>
              </a:defRPr>
            </a:pPr>
            <a:endParaRPr lang="en-US"/>
          </a:p>
        </c:txPr>
        <c:crossAx val="374917392"/>
        <c:crosses val="autoZero"/>
        <c:auto val="1"/>
        <c:lblAlgn val="ctr"/>
        <c:lblOffset val="100"/>
        <c:noMultiLvlLbl val="0"/>
      </c:catAx>
      <c:valAx>
        <c:axId val="374917392"/>
        <c:scaling>
          <c:orientation val="minMax"/>
        </c:scaling>
        <c:delete val="0"/>
        <c:axPos val="l"/>
        <c:majorGridlines/>
        <c:title>
          <c:tx>
            <c:rich>
              <a:bodyPr rot="-5400000" vert="horz"/>
              <a:lstStyle/>
              <a:p>
                <a:pPr>
                  <a:defRPr sz="1200" b="1"/>
                </a:pPr>
                <a:r>
                  <a:rPr lang="en-US" sz="1200" b="1"/>
                  <a:t>US$million</a:t>
                </a:r>
              </a:p>
            </c:rich>
          </c:tx>
          <c:layout>
            <c:manualLayout>
              <c:xMode val="edge"/>
              <c:yMode val="edge"/>
              <c:x val="1.5653154466802762E-2"/>
              <c:y val="0.42055477982985212"/>
            </c:manualLayout>
          </c:layout>
          <c:overlay val="0"/>
        </c:title>
        <c:numFmt formatCode="#,##0" sourceLinked="1"/>
        <c:majorTickMark val="out"/>
        <c:minorTickMark val="none"/>
        <c:tickLblPos val="nextTo"/>
        <c:txPr>
          <a:bodyPr/>
          <a:lstStyle/>
          <a:p>
            <a:pPr>
              <a:defRPr sz="1000" b="0"/>
            </a:pPr>
            <a:endParaRPr lang="en-US"/>
          </a:p>
        </c:txPr>
        <c:crossAx val="374916216"/>
        <c:crosses val="autoZero"/>
        <c:crossBetween val="between"/>
      </c:valAx>
    </c:plotArea>
    <c:legend>
      <c:legendPos val="b"/>
      <c:layout>
        <c:manualLayout>
          <c:xMode val="edge"/>
          <c:yMode val="edge"/>
          <c:x val="7.8389674974838675E-2"/>
          <c:y val="0.764848935549723"/>
          <c:w val="0.82001578750024673"/>
          <c:h val="0.23515106445027706"/>
        </c:manualLayout>
      </c:layout>
      <c:overlay val="0"/>
      <c:txPr>
        <a:bodyPr/>
        <a:lstStyle/>
        <a:p>
          <a:pPr>
            <a:defRPr lang="en-AU" sz="1000" b="0" i="0" u="none" strike="noStrike" kern="1200" baseline="0">
              <a:solidFill>
                <a:schemeClr val="tx1"/>
              </a:solidFill>
              <a:latin typeface="+mn-lt"/>
              <a:ea typeface="+mn-ea"/>
              <a:cs typeface="+mn-cs"/>
            </a:defRPr>
          </a:pPr>
          <a:endParaRPr lang="en-US"/>
        </a:p>
      </c:txPr>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Moly: Sales</a:t>
            </a:r>
            <a:r>
              <a:rPr lang="en-US" sz="1600" baseline="0"/>
              <a:t> Volumes</a:t>
            </a:r>
            <a:r>
              <a:rPr lang="en-US" sz="1600"/>
              <a:t> </a:t>
            </a:r>
          </a:p>
        </c:rich>
      </c:tx>
      <c:layout>
        <c:manualLayout>
          <c:xMode val="edge"/>
          <c:yMode val="edge"/>
          <c:x val="0.2952579292074472"/>
          <c:y val="1.1414216447643871E-2"/>
        </c:manualLayout>
      </c:layout>
      <c:overlay val="0"/>
    </c:title>
    <c:autoTitleDeleted val="0"/>
    <c:plotArea>
      <c:layout>
        <c:manualLayout>
          <c:layoutTarget val="inner"/>
          <c:xMode val="edge"/>
          <c:yMode val="edge"/>
          <c:x val="0.15095060625614834"/>
          <c:y val="0.11247633068164936"/>
          <c:w val="0.68647960465527091"/>
          <c:h val="0.51023000769843729"/>
        </c:manualLayout>
      </c:layout>
      <c:barChart>
        <c:barDir val="col"/>
        <c:grouping val="clustered"/>
        <c:varyColors val="0"/>
        <c:ser>
          <c:idx val="2"/>
          <c:order val="0"/>
          <c:tx>
            <c:strRef>
              <c:f>'Mid Case'!$A$179</c:f>
              <c:strCache>
                <c:ptCount val="1"/>
                <c:pt idx="0">
                  <c:v>moly concentrate - contained moly - mid case</c:v>
                </c:pt>
              </c:strCache>
            </c:strRef>
          </c:tx>
          <c:spPr>
            <a:solidFill>
              <a:schemeClr val="accent4">
                <a:lumMod val="40000"/>
                <a:lumOff val="60000"/>
              </a:schemeClr>
            </a:solidFill>
            <a:ln>
              <a:noFill/>
            </a:ln>
          </c:spPr>
          <c:invertIfNegative val="0"/>
          <c:cat>
            <c:numRef>
              <c:f>'Mid Case'!$D$94:$AD$94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'Mid Case'!$D$179:$AD$179</c:f>
              <c:numCache>
                <c:formatCode>#,##0.0</c:formatCode>
                <c:ptCount val="27"/>
                <c:pt idx="0">
                  <c:v>0</c:v>
                </c:pt>
                <c:pt idx="1">
                  <c:v>0</c:v>
                </c:pt>
                <c:pt idx="2">
                  <c:v>3.1984615384615376</c:v>
                </c:pt>
                <c:pt idx="3">
                  <c:v>5.04</c:v>
                </c:pt>
                <c:pt idx="4">
                  <c:v>5.04</c:v>
                </c:pt>
                <c:pt idx="5">
                  <c:v>5.04</c:v>
                </c:pt>
                <c:pt idx="6">
                  <c:v>5.2580769230769233</c:v>
                </c:pt>
                <c:pt idx="7">
                  <c:v>3.2953846153846156</c:v>
                </c:pt>
                <c:pt idx="8">
                  <c:v>1.8899999999999997</c:v>
                </c:pt>
                <c:pt idx="9">
                  <c:v>1.8899999999999997</c:v>
                </c:pt>
                <c:pt idx="10">
                  <c:v>1.8899999999999997</c:v>
                </c:pt>
                <c:pt idx="11">
                  <c:v>1.8899999999999997</c:v>
                </c:pt>
                <c:pt idx="12">
                  <c:v>2.108076923076923</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0-A638-4D06-8CFB-8832F221D257}"/>
            </c:ext>
          </c:extLst>
        </c:ser>
        <c:dLbls>
          <c:showLegendKey val="0"/>
          <c:showVal val="0"/>
          <c:showCatName val="0"/>
          <c:showSerName val="0"/>
          <c:showPercent val="0"/>
          <c:showBubbleSize val="0"/>
        </c:dLbls>
        <c:gapWidth val="50"/>
        <c:axId val="374917000"/>
        <c:axId val="374920920"/>
      </c:barChart>
      <c:lineChart>
        <c:grouping val="standard"/>
        <c:varyColors val="0"/>
        <c:ser>
          <c:idx val="1"/>
          <c:order val="1"/>
          <c:tx>
            <c:strRef>
              <c:f>'Mid Case'!$A$301</c:f>
              <c:strCache>
                <c:ptCount val="1"/>
                <c:pt idx="0">
                  <c:v>moly concentrate sold</c:v>
                </c:pt>
              </c:strCache>
            </c:strRef>
          </c:tx>
          <c:spPr>
            <a:ln w="88900">
              <a:solidFill>
                <a:schemeClr val="accent4">
                  <a:lumMod val="75000"/>
                </a:schemeClr>
              </a:solidFill>
              <a:prstDash val="sysDot"/>
            </a:ln>
          </c:spPr>
          <c:marker>
            <c:symbol val="none"/>
          </c:marker>
          <c:cat>
            <c:numRef>
              <c:f>'Mid Case'!$D$94:$N$94</c:f>
              <c:numCache>
                <c:formatCode>0</c:formatCode>
                <c:ptCount val="11"/>
                <c:pt idx="0">
                  <c:v>2027</c:v>
                </c:pt>
                <c:pt idx="1">
                  <c:v>2028</c:v>
                </c:pt>
                <c:pt idx="2">
                  <c:v>2029</c:v>
                </c:pt>
                <c:pt idx="3">
                  <c:v>2030</c:v>
                </c:pt>
                <c:pt idx="4">
                  <c:v>2031</c:v>
                </c:pt>
                <c:pt idx="5">
                  <c:v>2032</c:v>
                </c:pt>
                <c:pt idx="6">
                  <c:v>2033</c:v>
                </c:pt>
                <c:pt idx="7">
                  <c:v>2034</c:v>
                </c:pt>
                <c:pt idx="8">
                  <c:v>2035</c:v>
                </c:pt>
                <c:pt idx="9">
                  <c:v>2036</c:v>
                </c:pt>
                <c:pt idx="10">
                  <c:v>2037</c:v>
                </c:pt>
              </c:numCache>
            </c:numRef>
          </c:cat>
          <c:val>
            <c:numRef>
              <c:f>'Mid Case'!$D$301:$AD$301</c:f>
              <c:numCache>
                <c:formatCode>#,##0</c:formatCode>
                <c:ptCount val="27"/>
                <c:pt idx="0">
                  <c:v>0</c:v>
                </c:pt>
                <c:pt idx="1">
                  <c:v>0</c:v>
                </c:pt>
                <c:pt idx="2">
                  <c:v>4.4733727810650876</c:v>
                </c:pt>
                <c:pt idx="3">
                  <c:v>8.3909628832705749</c:v>
                </c:pt>
                <c:pt idx="4">
                  <c:v>9.1636363636363622</c:v>
                </c:pt>
                <c:pt idx="5">
                  <c:v>9.1636363636363622</c:v>
                </c:pt>
                <c:pt idx="6">
                  <c:v>9.4686390532544369</c:v>
                </c:pt>
                <c:pt idx="7">
                  <c:v>6.8151156535771911</c:v>
                </c:pt>
                <c:pt idx="8">
                  <c:v>4.026035502958579</c:v>
                </c:pt>
                <c:pt idx="9">
                  <c:v>3.4363636363636361</c:v>
                </c:pt>
                <c:pt idx="10">
                  <c:v>3.4363636363636361</c:v>
                </c:pt>
                <c:pt idx="11">
                  <c:v>3.4363636363636361</c:v>
                </c:pt>
                <c:pt idx="12">
                  <c:v>4.6258741258741258</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mooth val="0"/>
          <c:extLst>
            <c:ext xmlns:c16="http://schemas.microsoft.com/office/drawing/2014/chart" uri="{C3380CC4-5D6E-409C-BE32-E72D297353CC}">
              <c16:uniqueId val="{00000001-A638-4D06-8CFB-8832F221D257}"/>
            </c:ext>
          </c:extLst>
        </c:ser>
        <c:dLbls>
          <c:showLegendKey val="0"/>
          <c:showVal val="0"/>
          <c:showCatName val="0"/>
          <c:showSerName val="0"/>
          <c:showPercent val="0"/>
          <c:showBubbleSize val="0"/>
        </c:dLbls>
        <c:marker val="1"/>
        <c:smooth val="0"/>
        <c:axId val="374918176"/>
        <c:axId val="374919352"/>
      </c:lineChart>
      <c:catAx>
        <c:axId val="374917000"/>
        <c:scaling>
          <c:orientation val="minMax"/>
        </c:scaling>
        <c:delete val="0"/>
        <c:axPos val="b"/>
        <c:numFmt formatCode="0" sourceLinked="1"/>
        <c:majorTickMark val="out"/>
        <c:minorTickMark val="none"/>
        <c:tickLblPos val="nextTo"/>
        <c:txPr>
          <a:bodyPr/>
          <a:lstStyle/>
          <a:p>
            <a:pPr>
              <a:defRPr sz="1000"/>
            </a:pPr>
            <a:endParaRPr lang="en-US"/>
          </a:p>
        </c:txPr>
        <c:crossAx val="374920920"/>
        <c:crosses val="autoZero"/>
        <c:auto val="1"/>
        <c:lblAlgn val="ctr"/>
        <c:lblOffset val="100"/>
        <c:noMultiLvlLbl val="0"/>
      </c:catAx>
      <c:valAx>
        <c:axId val="374920920"/>
        <c:scaling>
          <c:orientation val="minMax"/>
        </c:scaling>
        <c:delete val="0"/>
        <c:axPos val="l"/>
        <c:majorGridlines/>
        <c:title>
          <c:tx>
            <c:rich>
              <a:bodyPr rot="-5400000" vert="horz"/>
              <a:lstStyle/>
              <a:p>
                <a:pPr>
                  <a:defRPr sz="1200">
                    <a:solidFill>
                      <a:schemeClr val="accent4">
                        <a:lumMod val="60000"/>
                        <a:lumOff val="40000"/>
                      </a:schemeClr>
                    </a:solidFill>
                  </a:defRPr>
                </a:pPr>
                <a:r>
                  <a:rPr lang="en-US" sz="1200">
                    <a:solidFill>
                      <a:schemeClr val="accent4">
                        <a:lumMod val="60000"/>
                        <a:lumOff val="40000"/>
                      </a:schemeClr>
                    </a:solidFill>
                  </a:rPr>
                  <a:t>Copper Tonnes  - 000s</a:t>
                </a:r>
              </a:p>
            </c:rich>
          </c:tx>
          <c:layout>
            <c:manualLayout>
              <c:xMode val="edge"/>
              <c:yMode val="edge"/>
              <c:x val="1.2593641916255794E-2"/>
              <c:y val="0.13085992895827986"/>
            </c:manualLayout>
          </c:layout>
          <c:overlay val="0"/>
        </c:title>
        <c:numFmt formatCode="#,##0.0" sourceLinked="1"/>
        <c:majorTickMark val="out"/>
        <c:minorTickMark val="none"/>
        <c:tickLblPos val="nextTo"/>
        <c:txPr>
          <a:bodyPr/>
          <a:lstStyle/>
          <a:p>
            <a:pPr>
              <a:defRPr sz="1000" b="1" baseline="0">
                <a:solidFill>
                  <a:schemeClr val="accent4">
                    <a:lumMod val="60000"/>
                    <a:lumOff val="40000"/>
                  </a:schemeClr>
                </a:solidFill>
              </a:defRPr>
            </a:pPr>
            <a:endParaRPr lang="en-US"/>
          </a:p>
        </c:txPr>
        <c:crossAx val="374917000"/>
        <c:crosses val="autoZero"/>
        <c:crossBetween val="between"/>
      </c:valAx>
      <c:catAx>
        <c:axId val="374918176"/>
        <c:scaling>
          <c:orientation val="minMax"/>
        </c:scaling>
        <c:delete val="1"/>
        <c:axPos val="b"/>
        <c:numFmt formatCode="0" sourceLinked="1"/>
        <c:majorTickMark val="out"/>
        <c:minorTickMark val="none"/>
        <c:tickLblPos val="none"/>
        <c:crossAx val="374919352"/>
        <c:crosses val="autoZero"/>
        <c:auto val="1"/>
        <c:lblAlgn val="ctr"/>
        <c:lblOffset val="100"/>
        <c:noMultiLvlLbl val="0"/>
      </c:catAx>
      <c:valAx>
        <c:axId val="374919352"/>
        <c:scaling>
          <c:orientation val="minMax"/>
        </c:scaling>
        <c:delete val="0"/>
        <c:axPos val="r"/>
        <c:title>
          <c:tx>
            <c:rich>
              <a:bodyPr rot="-5400000" vert="horz"/>
              <a:lstStyle/>
              <a:p>
                <a:pPr>
                  <a:defRPr sz="1200">
                    <a:solidFill>
                      <a:schemeClr val="accent4">
                        <a:lumMod val="75000"/>
                      </a:schemeClr>
                    </a:solidFill>
                  </a:defRPr>
                </a:pPr>
                <a:r>
                  <a:rPr lang="en-US" sz="1200">
                    <a:solidFill>
                      <a:schemeClr val="accent4">
                        <a:lumMod val="75000"/>
                      </a:schemeClr>
                    </a:solidFill>
                  </a:rPr>
                  <a:t>Concentrate dry tonnes 000's</a:t>
                </a:r>
              </a:p>
            </c:rich>
          </c:tx>
          <c:layout>
            <c:manualLayout>
              <c:xMode val="edge"/>
              <c:yMode val="edge"/>
              <c:x val="0.9256308411214953"/>
              <c:y val="7.5998703421077507E-2"/>
            </c:manualLayout>
          </c:layout>
          <c:overlay val="0"/>
        </c:title>
        <c:numFmt formatCode="#,##0" sourceLinked="1"/>
        <c:majorTickMark val="out"/>
        <c:minorTickMark val="none"/>
        <c:tickLblPos val="nextTo"/>
        <c:txPr>
          <a:bodyPr/>
          <a:lstStyle/>
          <a:p>
            <a:pPr>
              <a:defRPr sz="1000" b="1" baseline="0">
                <a:solidFill>
                  <a:schemeClr val="accent4">
                    <a:lumMod val="75000"/>
                  </a:schemeClr>
                </a:solidFill>
              </a:defRPr>
            </a:pPr>
            <a:endParaRPr lang="en-US"/>
          </a:p>
        </c:txPr>
        <c:crossAx val="374918176"/>
        <c:crosses val="max"/>
        <c:crossBetween val="between"/>
      </c:valAx>
    </c:plotArea>
    <c:legend>
      <c:legendPos val="b"/>
      <c:layout>
        <c:manualLayout>
          <c:xMode val="edge"/>
          <c:yMode val="edge"/>
          <c:x val="0.21448421220074762"/>
          <c:y val="0.76708607393201067"/>
          <c:w val="0.72996023224369677"/>
          <c:h val="0.20082675934222782"/>
        </c:manualLayout>
      </c:layout>
      <c:overlay val="0"/>
      <c:txPr>
        <a:bodyPr/>
        <a:lstStyle/>
        <a:p>
          <a:pPr>
            <a:defRPr sz="1000" b="1"/>
          </a:pPr>
          <a:endParaRPr lang="en-US"/>
        </a:p>
      </c:txPr>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Cash Generation </a:t>
            </a:r>
            <a:r>
              <a:rPr lang="en-US" sz="1600" b="0"/>
              <a:t>- mid case </a:t>
            </a:r>
          </a:p>
        </c:rich>
      </c:tx>
      <c:layout>
        <c:manualLayout>
          <c:xMode val="edge"/>
          <c:yMode val="edge"/>
          <c:x val="0.22192327284108973"/>
          <c:y val="4.3589114853267226E-2"/>
        </c:manualLayout>
      </c:layout>
      <c:overlay val="0"/>
    </c:title>
    <c:autoTitleDeleted val="0"/>
    <c:plotArea>
      <c:layout>
        <c:manualLayout>
          <c:layoutTarget val="inner"/>
          <c:xMode val="edge"/>
          <c:yMode val="edge"/>
          <c:x val="0.15450255000276172"/>
          <c:y val="5.9910251180138693E-2"/>
          <c:w val="0.81359584143953956"/>
          <c:h val="0.76572054335867135"/>
        </c:manualLayout>
      </c:layout>
      <c:barChart>
        <c:barDir val="col"/>
        <c:grouping val="stacked"/>
        <c:varyColors val="0"/>
        <c:ser>
          <c:idx val="0"/>
          <c:order val="0"/>
          <c:tx>
            <c:strRef>
              <c:f>'Mid Case'!$A$748</c:f>
              <c:strCache>
                <c:ptCount val="1"/>
                <c:pt idx="0">
                  <c:v>Cash Generation - Mid Case</c:v>
                </c:pt>
              </c:strCache>
            </c:strRef>
          </c:tx>
          <c:spPr>
            <a:solidFill>
              <a:srgbClr val="00B050"/>
            </a:solidFill>
            <a:ln>
              <a:noFill/>
            </a:ln>
          </c:spPr>
          <c:invertIfNegative val="0"/>
          <c:cat>
            <c:numRef>
              <c:f>'Expected NPV &amp; Common Data'!$D$36:$AD$36</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'Mid Case'!$D$748:$AD$748</c:f>
              <c:numCache>
                <c:formatCode>#,##0_);[Red]\(#,##0\)</c:formatCode>
                <c:ptCount val="27"/>
                <c:pt idx="0">
                  <c:v>-278.72000000000003</c:v>
                </c:pt>
                <c:pt idx="1">
                  <c:v>-615.48500000000001</c:v>
                </c:pt>
                <c:pt idx="2">
                  <c:v>-2.6325615726248444</c:v>
                </c:pt>
                <c:pt idx="3">
                  <c:v>320.82295087143797</c:v>
                </c:pt>
                <c:pt idx="4">
                  <c:v>271.65290585824454</c:v>
                </c:pt>
                <c:pt idx="5">
                  <c:v>228.80286139239027</c:v>
                </c:pt>
                <c:pt idx="6">
                  <c:v>209.35751292840399</c:v>
                </c:pt>
                <c:pt idx="7">
                  <c:v>156.431732792216</c:v>
                </c:pt>
                <c:pt idx="8">
                  <c:v>102.67215891750872</c:v>
                </c:pt>
                <c:pt idx="9">
                  <c:v>74.846079182057565</c:v>
                </c:pt>
                <c:pt idx="10">
                  <c:v>83.528047811437403</c:v>
                </c:pt>
                <c:pt idx="11">
                  <c:v>80.363385968651116</c:v>
                </c:pt>
                <c:pt idx="12">
                  <c:v>106.14370380513084</c:v>
                </c:pt>
                <c:pt idx="13">
                  <c:v>99.998709094265578</c:v>
                </c:pt>
                <c:pt idx="14">
                  <c:v>95.952115007443638</c:v>
                </c:pt>
                <c:pt idx="15">
                  <c:v>125.75649663889823</c:v>
                </c:pt>
                <c:pt idx="16">
                  <c:v>256.49154346604172</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0-2927-4069-89FC-881FA3AD229A}"/>
            </c:ext>
          </c:extLst>
        </c:ser>
        <c:dLbls>
          <c:showLegendKey val="0"/>
          <c:showVal val="0"/>
          <c:showCatName val="0"/>
          <c:showSerName val="0"/>
          <c:showPercent val="0"/>
          <c:showBubbleSize val="0"/>
        </c:dLbls>
        <c:gapWidth val="0"/>
        <c:overlap val="100"/>
        <c:axId val="371322096"/>
        <c:axId val="371323272"/>
      </c:barChart>
      <c:lineChart>
        <c:grouping val="standard"/>
        <c:varyColors val="0"/>
        <c:ser>
          <c:idx val="1"/>
          <c:order val="1"/>
          <c:tx>
            <c:strRef>
              <c:f>'Mid Case'!$A$749</c:f>
              <c:strCache>
                <c:ptCount val="1"/>
                <c:pt idx="0">
                  <c:v>Cumuative Cash Generation</c:v>
                </c:pt>
              </c:strCache>
            </c:strRef>
          </c:tx>
          <c:spPr>
            <a:ln w="28575">
              <a:solidFill>
                <a:srgbClr val="00FF00"/>
              </a:solidFill>
            </a:ln>
          </c:spPr>
          <c:marker>
            <c:symbol val="none"/>
          </c:marker>
          <c:cat>
            <c:numRef>
              <c:f>'Expected NPV &amp; Common Data'!$D$36:$AD$36</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'Mid Case'!$D$749:$AD$749</c:f>
              <c:numCache>
                <c:formatCode>#,##0_);[Red]\(#,##0\)</c:formatCode>
                <c:ptCount val="27"/>
                <c:pt idx="0">
                  <c:v>-278.72000000000003</c:v>
                </c:pt>
                <c:pt idx="1">
                  <c:v>-894.20500000000004</c:v>
                </c:pt>
                <c:pt idx="2">
                  <c:v>-896.83756157262485</c:v>
                </c:pt>
                <c:pt idx="3">
                  <c:v>-576.01461070118694</c:v>
                </c:pt>
                <c:pt idx="4">
                  <c:v>-304.3617048429424</c:v>
                </c:pt>
                <c:pt idx="5">
                  <c:v>-75.558843450552132</c:v>
                </c:pt>
                <c:pt idx="6">
                  <c:v>133.79866947785186</c:v>
                </c:pt>
                <c:pt idx="7">
                  <c:v>290.23040227006788</c:v>
                </c:pt>
                <c:pt idx="8">
                  <c:v>392.90256118757662</c:v>
                </c:pt>
                <c:pt idx="9">
                  <c:v>467.74864036963419</c:v>
                </c:pt>
                <c:pt idx="10">
                  <c:v>551.27668818107156</c:v>
                </c:pt>
                <c:pt idx="11">
                  <c:v>631.64007414972264</c:v>
                </c:pt>
                <c:pt idx="12">
                  <c:v>737.78377795485346</c:v>
                </c:pt>
                <c:pt idx="13">
                  <c:v>837.78248704911903</c:v>
                </c:pt>
                <c:pt idx="14">
                  <c:v>933.73460205656261</c:v>
                </c:pt>
                <c:pt idx="15">
                  <c:v>1059.4910986954608</c:v>
                </c:pt>
                <c:pt idx="16">
                  <c:v>1315.9826421615026</c:v>
                </c:pt>
                <c:pt idx="17">
                  <c:v>1315.9826421615026</c:v>
                </c:pt>
                <c:pt idx="18">
                  <c:v>1315.9826421615026</c:v>
                </c:pt>
                <c:pt idx="19">
                  <c:v>1315.9826421615026</c:v>
                </c:pt>
                <c:pt idx="20">
                  <c:v>1315.9826421615026</c:v>
                </c:pt>
                <c:pt idx="21">
                  <c:v>1315.9826421615026</c:v>
                </c:pt>
                <c:pt idx="22">
                  <c:v>1315.9826421615026</c:v>
                </c:pt>
                <c:pt idx="23">
                  <c:v>1315.9826421615026</c:v>
                </c:pt>
                <c:pt idx="24">
                  <c:v>1315.9826421615026</c:v>
                </c:pt>
                <c:pt idx="25">
                  <c:v>1315.9826421615026</c:v>
                </c:pt>
                <c:pt idx="26">
                  <c:v>1315.9826421615026</c:v>
                </c:pt>
              </c:numCache>
            </c:numRef>
          </c:val>
          <c:smooth val="0"/>
          <c:extLst>
            <c:ext xmlns:c16="http://schemas.microsoft.com/office/drawing/2014/chart" uri="{C3380CC4-5D6E-409C-BE32-E72D297353CC}">
              <c16:uniqueId val="{00000001-2927-4069-89FC-881FA3AD229A}"/>
            </c:ext>
          </c:extLst>
        </c:ser>
        <c:dLbls>
          <c:showLegendKey val="0"/>
          <c:showVal val="0"/>
          <c:showCatName val="0"/>
          <c:showSerName val="0"/>
          <c:showPercent val="0"/>
          <c:showBubbleSize val="0"/>
        </c:dLbls>
        <c:marker val="1"/>
        <c:smooth val="0"/>
        <c:axId val="371322096"/>
        <c:axId val="371323272"/>
      </c:lineChart>
      <c:catAx>
        <c:axId val="371322096"/>
        <c:scaling>
          <c:orientation val="minMax"/>
        </c:scaling>
        <c:delete val="0"/>
        <c:axPos val="b"/>
        <c:numFmt formatCode="0" sourceLinked="1"/>
        <c:majorTickMark val="out"/>
        <c:minorTickMark val="none"/>
        <c:tickLblPos val="nextTo"/>
        <c:txPr>
          <a:bodyPr/>
          <a:lstStyle/>
          <a:p>
            <a:pPr>
              <a:defRPr sz="1050" b="0"/>
            </a:pPr>
            <a:endParaRPr lang="en-US"/>
          </a:p>
        </c:txPr>
        <c:crossAx val="371323272"/>
        <c:crosses val="autoZero"/>
        <c:auto val="1"/>
        <c:lblAlgn val="ctr"/>
        <c:lblOffset val="100"/>
        <c:noMultiLvlLbl val="0"/>
      </c:catAx>
      <c:valAx>
        <c:axId val="371323272"/>
        <c:scaling>
          <c:orientation val="minMax"/>
          <c:max val="3000"/>
          <c:min val="-1000"/>
        </c:scaling>
        <c:delete val="0"/>
        <c:axPos val="l"/>
        <c:majorGridlines/>
        <c:title>
          <c:tx>
            <c:rich>
              <a:bodyPr rot="-5400000" vert="horz"/>
              <a:lstStyle/>
              <a:p>
                <a:pPr>
                  <a:defRPr sz="1200" b="0">
                    <a:solidFill>
                      <a:srgbClr val="00B050"/>
                    </a:solidFill>
                  </a:defRPr>
                </a:pPr>
                <a:r>
                  <a:rPr lang="en-US" sz="1200" b="0">
                    <a:solidFill>
                      <a:srgbClr val="00B050"/>
                    </a:solidFill>
                  </a:rPr>
                  <a:t>US$ Millions Real</a:t>
                </a:r>
              </a:p>
            </c:rich>
          </c:tx>
          <c:layout>
            <c:manualLayout>
              <c:xMode val="edge"/>
              <c:yMode val="edge"/>
              <c:x val="1.6170768392842341E-2"/>
              <c:y val="0.20678074458569781"/>
            </c:manualLayout>
          </c:layout>
          <c:overlay val="0"/>
        </c:title>
        <c:numFmt formatCode="#,##0" sourceLinked="0"/>
        <c:majorTickMark val="out"/>
        <c:minorTickMark val="none"/>
        <c:tickLblPos val="nextTo"/>
        <c:txPr>
          <a:bodyPr/>
          <a:lstStyle/>
          <a:p>
            <a:pPr>
              <a:defRPr sz="1000" b="0">
                <a:solidFill>
                  <a:srgbClr val="00B050"/>
                </a:solidFill>
              </a:defRPr>
            </a:pPr>
            <a:endParaRPr lang="en-US"/>
          </a:p>
        </c:txPr>
        <c:crossAx val="371322096"/>
        <c:crosses val="autoZero"/>
        <c:crossBetween val="between"/>
      </c:valAx>
    </c:plotArea>
    <c:legend>
      <c:legendPos val="b"/>
      <c:layout>
        <c:manualLayout>
          <c:xMode val="edge"/>
          <c:yMode val="edge"/>
          <c:x val="2.3239789831465876E-2"/>
          <c:y val="0.81995028241624546"/>
          <c:w val="0.94215320487536447"/>
          <c:h val="0.15773115274356075"/>
        </c:manualLayout>
      </c:layout>
      <c:overlay val="0"/>
      <c:txPr>
        <a:bodyPr/>
        <a:lstStyle/>
        <a:p>
          <a:pPr>
            <a:defRPr sz="1000" b="0"/>
          </a:pPr>
          <a:endParaRPr lang="en-US"/>
        </a:p>
      </c:txPr>
    </c:legend>
    <c:plotVisOnly val="1"/>
    <c:dispBlanksAs val="gap"/>
    <c:showDLblsOverMax val="0"/>
  </c:chart>
  <c:txPr>
    <a:bodyPr/>
    <a:lstStyle/>
    <a:p>
      <a:pPr algn="ctr">
        <a:defRPr lang="en-AU" sz="1600" b="1" i="0" u="none" strike="noStrike" kern="1200" baseline="0">
          <a:solidFill>
            <a:sysClr val="windowText" lastClr="000000"/>
          </a:solidFill>
          <a:latin typeface="+mn-lt"/>
          <a:ea typeface="+mn-ea"/>
          <a:cs typeface="+mn-cs"/>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Four Cash Streams - </a:t>
            </a:r>
            <a:r>
              <a:rPr lang="en-US" sz="1600" b="0"/>
              <a:t>low case</a:t>
            </a:r>
          </a:p>
        </c:rich>
      </c:tx>
      <c:layout>
        <c:manualLayout>
          <c:xMode val="edge"/>
          <c:yMode val="edge"/>
          <c:x val="0.29349411746585669"/>
          <c:y val="0"/>
        </c:manualLayout>
      </c:layout>
      <c:overlay val="1"/>
    </c:title>
    <c:autoTitleDeleted val="0"/>
    <c:plotArea>
      <c:layout>
        <c:manualLayout>
          <c:layoutTarget val="inner"/>
          <c:xMode val="edge"/>
          <c:yMode val="edge"/>
          <c:x val="0.12380399637186569"/>
          <c:y val="0.11916846903789058"/>
          <c:w val="0.85180259084941345"/>
          <c:h val="0.72124088556519828"/>
        </c:manualLayout>
      </c:layout>
      <c:barChart>
        <c:barDir val="col"/>
        <c:grouping val="stacked"/>
        <c:varyColors val="0"/>
        <c:ser>
          <c:idx val="0"/>
          <c:order val="0"/>
          <c:tx>
            <c:strRef>
              <c:f>'Low Case'!$A$766</c:f>
              <c:strCache>
                <c:ptCount val="1"/>
                <c:pt idx="0">
                  <c:v>Cashstream 2: Capital Costs - Low Case</c:v>
                </c:pt>
              </c:strCache>
            </c:strRef>
          </c:tx>
          <c:spPr>
            <a:solidFill>
              <a:srgbClr val="00B0F0"/>
            </a:solidFill>
            <a:ln>
              <a:noFill/>
            </a:ln>
          </c:spPr>
          <c:invertIfNegative val="0"/>
          <c:cat>
            <c:numRef>
              <c:f>'Expected NPV &amp; Common Data'!$D$36:$AD$36</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'Low Case'!$D$766:$AD$766</c:f>
              <c:numCache>
                <c:formatCode>#,##0</c:formatCode>
                <c:ptCount val="27"/>
                <c:pt idx="0">
                  <c:v>-255</c:v>
                </c:pt>
                <c:pt idx="1">
                  <c:v>-543</c:v>
                </c:pt>
                <c:pt idx="2">
                  <c:v>-73.727999999999994</c:v>
                </c:pt>
                <c:pt idx="3">
                  <c:v>-33.527999999999999</c:v>
                </c:pt>
                <c:pt idx="4">
                  <c:v>-33.527999999999999</c:v>
                </c:pt>
                <c:pt idx="5">
                  <c:v>-48.527999999999999</c:v>
                </c:pt>
                <c:pt idx="6">
                  <c:v>-33.527999999999999</c:v>
                </c:pt>
                <c:pt idx="7">
                  <c:v>-33.527999999999999</c:v>
                </c:pt>
                <c:pt idx="8">
                  <c:v>-33.527999999999999</c:v>
                </c:pt>
                <c:pt idx="9">
                  <c:v>-45.527999999999999</c:v>
                </c:pt>
                <c:pt idx="10">
                  <c:v>-33.527999999999999</c:v>
                </c:pt>
                <c:pt idx="11">
                  <c:v>-33.527999999999999</c:v>
                </c:pt>
                <c:pt idx="12">
                  <c:v>-33.527999999999999</c:v>
                </c:pt>
                <c:pt idx="13">
                  <c:v>-42.527999999999999</c:v>
                </c:pt>
                <c:pt idx="14">
                  <c:v>-33.527999999999999</c:v>
                </c:pt>
                <c:pt idx="15">
                  <c:v>-33.527999999999999</c:v>
                </c:pt>
                <c:pt idx="16">
                  <c:v>-33.527999999999999</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0-3B05-40FF-9930-26AE05B6A49F}"/>
            </c:ext>
          </c:extLst>
        </c:ser>
        <c:ser>
          <c:idx val="1"/>
          <c:order val="1"/>
          <c:tx>
            <c:strRef>
              <c:f>'Low Case'!$A$767</c:f>
              <c:strCache>
                <c:ptCount val="1"/>
                <c:pt idx="0">
                  <c:v>Cashstream 3: Operating Costs - Low Case</c:v>
                </c:pt>
              </c:strCache>
            </c:strRef>
          </c:tx>
          <c:spPr>
            <a:solidFill>
              <a:srgbClr val="FFFF00"/>
            </a:solidFill>
            <a:ln>
              <a:noFill/>
            </a:ln>
          </c:spPr>
          <c:invertIfNegative val="0"/>
          <c:cat>
            <c:numRef>
              <c:f>'Expected NPV &amp; Common Data'!$D$36:$AD$36</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'Low Case'!$D$767:$AD$767</c:f>
              <c:numCache>
                <c:formatCode>#,##0</c:formatCode>
                <c:ptCount val="27"/>
                <c:pt idx="0">
                  <c:v>-2.2799999999999998</c:v>
                </c:pt>
                <c:pt idx="1">
                  <c:v>-150.44999999999999</c:v>
                </c:pt>
                <c:pt idx="2">
                  <c:v>-231.36818890378106</c:v>
                </c:pt>
                <c:pt idx="3">
                  <c:v>-256.64497135170421</c:v>
                </c:pt>
                <c:pt idx="4">
                  <c:v>-352.39140329251842</c:v>
                </c:pt>
                <c:pt idx="5">
                  <c:v>-352.43992445037031</c:v>
                </c:pt>
                <c:pt idx="6">
                  <c:v>-419.62546654036254</c:v>
                </c:pt>
                <c:pt idx="7">
                  <c:v>-400.31888516627538</c:v>
                </c:pt>
                <c:pt idx="8">
                  <c:v>-404.21773950335592</c:v>
                </c:pt>
                <c:pt idx="9">
                  <c:v>-405.96747684946075</c:v>
                </c:pt>
                <c:pt idx="10">
                  <c:v>-407.694420396841</c:v>
                </c:pt>
                <c:pt idx="11">
                  <c:v>-409.42183337969499</c:v>
                </c:pt>
                <c:pt idx="12">
                  <c:v>-397.95666429118103</c:v>
                </c:pt>
                <c:pt idx="13">
                  <c:v>-302.71668608415951</c:v>
                </c:pt>
                <c:pt idx="14">
                  <c:v>-304.8728567406809</c:v>
                </c:pt>
                <c:pt idx="15">
                  <c:v>-261.59900032744258</c:v>
                </c:pt>
                <c:pt idx="16">
                  <c:v>-366.55389920105415</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1-3B05-40FF-9930-26AE05B6A49F}"/>
            </c:ext>
          </c:extLst>
        </c:ser>
        <c:ser>
          <c:idx val="2"/>
          <c:order val="2"/>
          <c:tx>
            <c:strRef>
              <c:f>'Low Case'!$A$768</c:f>
              <c:strCache>
                <c:ptCount val="1"/>
                <c:pt idx="0">
                  <c:v>Cashstream 4: Taxes - Low Case</c:v>
                </c:pt>
              </c:strCache>
            </c:strRef>
          </c:tx>
          <c:spPr>
            <a:solidFill>
              <a:srgbClr val="FF0000"/>
            </a:solidFill>
            <a:ln>
              <a:noFill/>
            </a:ln>
          </c:spPr>
          <c:invertIfNegative val="0"/>
          <c:cat>
            <c:numRef>
              <c:f>'Expected NPV &amp; Common Data'!$D$36:$AD$36</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'Low Case'!$D$768:$AD$768</c:f>
              <c:numCache>
                <c:formatCode>#,##0</c:formatCode>
                <c:ptCount val="27"/>
                <c:pt idx="0">
                  <c:v>0</c:v>
                </c:pt>
                <c:pt idx="1">
                  <c:v>0</c:v>
                </c:pt>
                <c:pt idx="2">
                  <c:v>-18.202424704570948</c:v>
                </c:pt>
                <c:pt idx="3">
                  <c:v>-34.488502290767919</c:v>
                </c:pt>
                <c:pt idx="4">
                  <c:v>-37.229691299152279</c:v>
                </c:pt>
                <c:pt idx="5">
                  <c:v>-37.226015258684136</c:v>
                </c:pt>
                <c:pt idx="6">
                  <c:v>-38.72465662371291</c:v>
                </c:pt>
                <c:pt idx="7">
                  <c:v>-33.216507462537216</c:v>
                </c:pt>
                <c:pt idx="8">
                  <c:v>-31.683619308509137</c:v>
                </c:pt>
                <c:pt idx="9">
                  <c:v>-31.584881995003045</c:v>
                </c:pt>
                <c:pt idx="10">
                  <c:v>-31.581219143707038</c:v>
                </c:pt>
                <c:pt idx="11">
                  <c:v>-31.577519663898087</c:v>
                </c:pt>
                <c:pt idx="12">
                  <c:v>-32.714251352138632</c:v>
                </c:pt>
                <c:pt idx="13">
                  <c:v>-27.637995297488743</c:v>
                </c:pt>
                <c:pt idx="14">
                  <c:v>-27.40755488558359</c:v>
                </c:pt>
                <c:pt idx="15">
                  <c:v>-27.403863398642663</c:v>
                </c:pt>
                <c:pt idx="16">
                  <c:v>-35.304020092072406</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2-3B05-40FF-9930-26AE05B6A49F}"/>
            </c:ext>
          </c:extLst>
        </c:ser>
        <c:ser>
          <c:idx val="3"/>
          <c:order val="3"/>
          <c:tx>
            <c:strRef>
              <c:f>'Low Case'!$A$769</c:f>
              <c:strCache>
                <c:ptCount val="1"/>
                <c:pt idx="0">
                  <c:v>Cashflow if positive</c:v>
                </c:pt>
              </c:strCache>
            </c:strRef>
          </c:tx>
          <c:spPr>
            <a:solidFill>
              <a:srgbClr val="33CC33"/>
            </a:solidFill>
            <a:ln>
              <a:noFill/>
            </a:ln>
          </c:spPr>
          <c:invertIfNegative val="0"/>
          <c:cat>
            <c:numRef>
              <c:f>'Expected NPV &amp; Common Data'!$D$36:$AD$36</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'Low Case'!$D$769:$AD$769</c:f>
              <c:numCache>
                <c:formatCode>#,##0</c:formatCode>
                <c:ptCount val="27"/>
                <c:pt idx="0">
                  <c:v>0</c:v>
                </c:pt>
                <c:pt idx="1">
                  <c:v>0</c:v>
                </c:pt>
                <c:pt idx="2">
                  <c:v>0</c:v>
                </c:pt>
                <c:pt idx="3">
                  <c:v>155.74071145186926</c:v>
                </c:pt>
                <c:pt idx="4">
                  <c:v>114.10894437532389</c:v>
                </c:pt>
                <c:pt idx="5">
                  <c:v>102.41180918765519</c:v>
                </c:pt>
                <c:pt idx="6">
                  <c:v>68.654789985253444</c:v>
                </c:pt>
                <c:pt idx="7">
                  <c:v>12.189029283412872</c:v>
                </c:pt>
                <c:pt idx="8">
                  <c:v>0</c:v>
                </c:pt>
                <c:pt idx="9">
                  <c:v>0</c:v>
                </c:pt>
                <c:pt idx="10">
                  <c:v>0</c:v>
                </c:pt>
                <c:pt idx="11">
                  <c:v>0</c:v>
                </c:pt>
                <c:pt idx="12">
                  <c:v>0</c:v>
                </c:pt>
                <c:pt idx="13">
                  <c:v>0.29847647515654785</c:v>
                </c:pt>
                <c:pt idx="14">
                  <c:v>0</c:v>
                </c:pt>
                <c:pt idx="15">
                  <c:v>39.903951142268461</c:v>
                </c:pt>
                <c:pt idx="16">
                  <c:v>61.386562730067382</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3-3B05-40FF-9930-26AE05B6A49F}"/>
            </c:ext>
          </c:extLst>
        </c:ser>
        <c:ser>
          <c:idx val="4"/>
          <c:order val="4"/>
          <c:tx>
            <c:strRef>
              <c:f>'Low Case'!$A$770</c:f>
              <c:strCache>
                <c:ptCount val="1"/>
                <c:pt idx="0">
                  <c:v>Cashflow Deficit</c:v>
                </c:pt>
              </c:strCache>
            </c:strRef>
          </c:tx>
          <c:spPr>
            <a:noFill/>
            <a:ln w="34925">
              <a:solidFill>
                <a:srgbClr val="FF99FF"/>
              </a:solidFill>
              <a:prstDash val="dash"/>
            </a:ln>
          </c:spPr>
          <c:invertIfNegative val="0"/>
          <c:cat>
            <c:numRef>
              <c:f>'Expected NPV &amp; Common Data'!$D$36:$AD$36</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'Low Case'!$D$770:$AD$770</c:f>
              <c:numCache>
                <c:formatCode>#,##0</c:formatCode>
                <c:ptCount val="27"/>
                <c:pt idx="0">
                  <c:v>257.27999999999997</c:v>
                </c:pt>
                <c:pt idx="1">
                  <c:v>693.45</c:v>
                </c:pt>
                <c:pt idx="2">
                  <c:v>81.958513215518508</c:v>
                </c:pt>
                <c:pt idx="3">
                  <c:v>0</c:v>
                </c:pt>
                <c:pt idx="4">
                  <c:v>0</c:v>
                </c:pt>
                <c:pt idx="5">
                  <c:v>0</c:v>
                </c:pt>
                <c:pt idx="6">
                  <c:v>0</c:v>
                </c:pt>
                <c:pt idx="7">
                  <c:v>0</c:v>
                </c:pt>
                <c:pt idx="8">
                  <c:v>26.235917704770188</c:v>
                </c:pt>
                <c:pt idx="9">
                  <c:v>45.186857663628402</c:v>
                </c:pt>
                <c:pt idx="10">
                  <c:v>35.155236204754225</c:v>
                </c:pt>
                <c:pt idx="11">
                  <c:v>36.878949707799265</c:v>
                </c:pt>
                <c:pt idx="12">
                  <c:v>6.3134458463050862</c:v>
                </c:pt>
                <c:pt idx="13">
                  <c:v>0</c:v>
                </c:pt>
                <c:pt idx="14">
                  <c:v>3.1271373905820035</c:v>
                </c:pt>
                <c:pt idx="15">
                  <c:v>0</c:v>
                </c:pt>
                <c:pt idx="16">
                  <c:v>0</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4-3B05-40FF-9930-26AE05B6A49F}"/>
            </c:ext>
          </c:extLst>
        </c:ser>
        <c:dLbls>
          <c:showLegendKey val="0"/>
          <c:showVal val="0"/>
          <c:showCatName val="0"/>
          <c:showSerName val="0"/>
          <c:showPercent val="0"/>
          <c:showBubbleSize val="0"/>
        </c:dLbls>
        <c:gapWidth val="0"/>
        <c:overlap val="100"/>
        <c:axId val="371323664"/>
        <c:axId val="371324840"/>
      </c:barChart>
      <c:catAx>
        <c:axId val="371323664"/>
        <c:scaling>
          <c:orientation val="minMax"/>
        </c:scaling>
        <c:delete val="0"/>
        <c:axPos val="b"/>
        <c:numFmt formatCode="0" sourceLinked="1"/>
        <c:majorTickMark val="out"/>
        <c:minorTickMark val="none"/>
        <c:tickLblPos val="nextTo"/>
        <c:txPr>
          <a:bodyPr/>
          <a:lstStyle/>
          <a:p>
            <a:pPr>
              <a:defRPr sz="1000"/>
            </a:pPr>
            <a:endParaRPr lang="en-US"/>
          </a:p>
        </c:txPr>
        <c:crossAx val="371324840"/>
        <c:crosses val="autoZero"/>
        <c:auto val="1"/>
        <c:lblAlgn val="ctr"/>
        <c:lblOffset val="100"/>
        <c:noMultiLvlLbl val="0"/>
      </c:catAx>
      <c:valAx>
        <c:axId val="371324840"/>
        <c:scaling>
          <c:orientation val="minMax"/>
          <c:max val="1000"/>
        </c:scaling>
        <c:delete val="0"/>
        <c:axPos val="l"/>
        <c:majorGridlines/>
        <c:title>
          <c:tx>
            <c:rich>
              <a:bodyPr rot="-5400000" vert="horz"/>
              <a:lstStyle/>
              <a:p>
                <a:pPr>
                  <a:defRPr sz="1200" b="1"/>
                </a:pPr>
                <a:r>
                  <a:rPr lang="en-US" sz="1200" b="1"/>
                  <a:t>US$ millions Real</a:t>
                </a:r>
              </a:p>
            </c:rich>
          </c:tx>
          <c:layout>
            <c:manualLayout>
              <c:xMode val="edge"/>
              <c:yMode val="edge"/>
              <c:x val="1.2832939907668773E-2"/>
              <c:y val="0.21479721712868088"/>
            </c:manualLayout>
          </c:layout>
          <c:overlay val="0"/>
        </c:title>
        <c:numFmt formatCode="#,##0" sourceLinked="0"/>
        <c:majorTickMark val="out"/>
        <c:minorTickMark val="none"/>
        <c:tickLblPos val="nextTo"/>
        <c:txPr>
          <a:bodyPr/>
          <a:lstStyle/>
          <a:p>
            <a:pPr>
              <a:defRPr sz="1000" b="0" baseline="0"/>
            </a:pPr>
            <a:endParaRPr lang="en-US"/>
          </a:p>
        </c:txPr>
        <c:crossAx val="371323664"/>
        <c:crosses val="autoZero"/>
        <c:crossBetween val="between"/>
      </c:valAx>
    </c:plotArea>
    <c:legend>
      <c:legendPos val="b"/>
      <c:legendEntry>
        <c:idx val="2"/>
        <c:txPr>
          <a:bodyPr/>
          <a:lstStyle/>
          <a:p>
            <a:pPr>
              <a:defRPr sz="1000" b="0"/>
            </a:pPr>
            <a:endParaRPr lang="en-US"/>
          </a:p>
        </c:txPr>
      </c:legendEntry>
      <c:layout>
        <c:manualLayout>
          <c:xMode val="edge"/>
          <c:yMode val="edge"/>
          <c:x val="2.5109279334459963E-3"/>
          <c:y val="0.78795353621601616"/>
          <c:w val="0.99042838483052742"/>
          <c:h val="0.19085690304973604"/>
        </c:manualLayout>
      </c:layout>
      <c:overlay val="0"/>
      <c:spPr>
        <a:solidFill>
          <a:schemeClr val="bg1"/>
        </a:solidFill>
      </c:spPr>
      <c:txPr>
        <a:bodyPr/>
        <a:lstStyle/>
        <a:p>
          <a:pPr>
            <a:defRPr sz="1000" b="0"/>
          </a:pPr>
          <a:endParaRPr lang="en-US"/>
        </a:p>
      </c:txPr>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600" b="1" i="0" u="none" strike="noStrike" kern="1200" baseline="0">
                <a:solidFill>
                  <a:sysClr val="windowText" lastClr="000000"/>
                </a:solidFill>
                <a:latin typeface="+mn-lt"/>
                <a:ea typeface="+mn-ea"/>
                <a:cs typeface="+mn-cs"/>
              </a:defRPr>
            </a:pPr>
            <a:r>
              <a:rPr lang="en-US" sz="1600" b="1" i="0" u="none" strike="noStrike" kern="1200" baseline="0">
                <a:solidFill>
                  <a:sysClr val="windowText" lastClr="000000"/>
                </a:solidFill>
                <a:latin typeface="+mn-lt"/>
                <a:ea typeface="+mn-ea"/>
                <a:cs typeface="+mn-cs"/>
              </a:rPr>
              <a:t>Mining</a:t>
            </a:r>
          </a:p>
        </c:rich>
      </c:tx>
      <c:layout>
        <c:manualLayout>
          <c:xMode val="edge"/>
          <c:yMode val="edge"/>
          <c:x val="0.22086087156496795"/>
          <c:y val="8.2558487528508318E-5"/>
        </c:manualLayout>
      </c:layout>
      <c:overlay val="1"/>
    </c:title>
    <c:autoTitleDeleted val="0"/>
    <c:plotArea>
      <c:layout>
        <c:manualLayout>
          <c:layoutTarget val="inner"/>
          <c:xMode val="edge"/>
          <c:yMode val="edge"/>
          <c:x val="0.16228495070978013"/>
          <c:y val="8.7811106397508457E-2"/>
          <c:w val="0.80360212962909361"/>
          <c:h val="0.5705398293103271"/>
        </c:manualLayout>
      </c:layout>
      <c:barChart>
        <c:barDir val="col"/>
        <c:grouping val="stacked"/>
        <c:varyColors val="0"/>
        <c:ser>
          <c:idx val="4"/>
          <c:order val="0"/>
          <c:tx>
            <c:strRef>
              <c:f>'Low Case'!$A$117</c:f>
              <c:strCache>
                <c:ptCount val="1"/>
                <c:pt idx="0">
                  <c:v>Ore mined - Alpha Pit</c:v>
                </c:pt>
              </c:strCache>
            </c:strRef>
          </c:tx>
          <c:spPr>
            <a:solidFill>
              <a:schemeClr val="accent6">
                <a:lumMod val="75000"/>
              </a:schemeClr>
            </a:solidFill>
            <a:ln>
              <a:noFill/>
            </a:ln>
          </c:spPr>
          <c:invertIfNegative val="0"/>
          <c:cat>
            <c:numRef>
              <c:f>'Low Case'!$D$94:$AD$94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'Low Case'!$D$117:$AD$117</c:f>
              <c:numCache>
                <c:formatCode>#,##0.0</c:formatCode>
                <c:ptCount val="27"/>
                <c:pt idx="2">
                  <c:v>5</c:v>
                </c:pt>
                <c:pt idx="3">
                  <c:v>7</c:v>
                </c:pt>
                <c:pt idx="4">
                  <c:v>7</c:v>
                </c:pt>
                <c:pt idx="5">
                  <c:v>7</c:v>
                </c:pt>
                <c:pt idx="6">
                  <c:v>7</c:v>
                </c:pt>
                <c:pt idx="7">
                  <c:v>4</c:v>
                </c:pt>
                <c:pt idx="8">
                  <c:v>3</c:v>
                </c:pt>
                <c:pt idx="9">
                  <c:v>3</c:v>
                </c:pt>
                <c:pt idx="10">
                  <c:v>3</c:v>
                </c:pt>
                <c:pt idx="11">
                  <c:v>3</c:v>
                </c:pt>
                <c:pt idx="12">
                  <c:v>3</c:v>
                </c:pt>
              </c:numCache>
            </c:numRef>
          </c:val>
          <c:extLst>
            <c:ext xmlns:c16="http://schemas.microsoft.com/office/drawing/2014/chart" uri="{C3380CC4-5D6E-409C-BE32-E72D297353CC}">
              <c16:uniqueId val="{00000000-4E73-49CD-A3F5-F5629D41E95F}"/>
            </c:ext>
          </c:extLst>
        </c:ser>
        <c:ser>
          <c:idx val="2"/>
          <c:order val="1"/>
          <c:tx>
            <c:strRef>
              <c:f>'Low Case'!$A$130</c:f>
              <c:strCache>
                <c:ptCount val="1"/>
                <c:pt idx="0">
                  <c:v>Ore mined - Beta Pit</c:v>
                </c:pt>
              </c:strCache>
            </c:strRef>
          </c:tx>
          <c:spPr>
            <a:solidFill>
              <a:schemeClr val="accent4">
                <a:lumMod val="75000"/>
              </a:schemeClr>
            </a:solidFill>
          </c:spPr>
          <c:invertIfNegative val="0"/>
          <c:val>
            <c:numRef>
              <c:f>'Low Case'!$D$130:$AD$130</c:f>
              <c:numCache>
                <c:formatCode>#,##0.0</c:formatCode>
                <c:ptCount val="27"/>
                <c:pt idx="7">
                  <c:v>3</c:v>
                </c:pt>
                <c:pt idx="8">
                  <c:v>4</c:v>
                </c:pt>
                <c:pt idx="9">
                  <c:v>4</c:v>
                </c:pt>
                <c:pt idx="10">
                  <c:v>4</c:v>
                </c:pt>
                <c:pt idx="11">
                  <c:v>4</c:v>
                </c:pt>
                <c:pt idx="12">
                  <c:v>4</c:v>
                </c:pt>
                <c:pt idx="13">
                  <c:v>7</c:v>
                </c:pt>
                <c:pt idx="14">
                  <c:v>7</c:v>
                </c:pt>
                <c:pt idx="15">
                  <c:v>7</c:v>
                </c:pt>
                <c:pt idx="16">
                  <c:v>7</c:v>
                </c:pt>
                <c:pt idx="17">
                  <c:v>0</c:v>
                </c:pt>
                <c:pt idx="18">
                  <c:v>0</c:v>
                </c:pt>
                <c:pt idx="19">
                  <c:v>0</c:v>
                </c:pt>
                <c:pt idx="20">
                  <c:v>0</c:v>
                </c:pt>
                <c:pt idx="21">
                  <c:v>0</c:v>
                </c:pt>
              </c:numCache>
            </c:numRef>
          </c:val>
          <c:extLst>
            <c:ext xmlns:c16="http://schemas.microsoft.com/office/drawing/2014/chart" uri="{C3380CC4-5D6E-409C-BE32-E72D297353CC}">
              <c16:uniqueId val="{00000001-4E73-49CD-A3F5-F5629D41E95F}"/>
            </c:ext>
          </c:extLst>
        </c:ser>
        <c:ser>
          <c:idx val="0"/>
          <c:order val="2"/>
          <c:tx>
            <c:strRef>
              <c:f>'Low Case'!$A$116</c:f>
              <c:strCache>
                <c:ptCount val="1"/>
                <c:pt idx="0">
                  <c:v>Waste mined - Alpha Pit</c:v>
                </c:pt>
              </c:strCache>
            </c:strRef>
          </c:tx>
          <c:spPr>
            <a:solidFill>
              <a:schemeClr val="accent6">
                <a:lumMod val="40000"/>
                <a:lumOff val="60000"/>
              </a:schemeClr>
            </a:solidFill>
          </c:spPr>
          <c:invertIfNegative val="0"/>
          <c:val>
            <c:numRef>
              <c:f>'Low Case'!$D$116:$AD$116</c:f>
              <c:numCache>
                <c:formatCode>#,##0</c:formatCode>
                <c:ptCount val="27"/>
                <c:pt idx="1">
                  <c:v>37</c:v>
                </c:pt>
                <c:pt idx="2">
                  <c:v>37</c:v>
                </c:pt>
                <c:pt idx="3">
                  <c:v>35</c:v>
                </c:pt>
                <c:pt idx="4">
                  <c:v>60</c:v>
                </c:pt>
                <c:pt idx="5">
                  <c:v>60</c:v>
                </c:pt>
                <c:pt idx="6">
                  <c:v>48</c:v>
                </c:pt>
                <c:pt idx="7">
                  <c:v>38</c:v>
                </c:pt>
                <c:pt idx="8">
                  <c:v>38</c:v>
                </c:pt>
                <c:pt idx="9">
                  <c:v>38</c:v>
                </c:pt>
                <c:pt idx="10">
                  <c:v>38</c:v>
                </c:pt>
                <c:pt idx="11">
                  <c:v>38</c:v>
                </c:pt>
                <c:pt idx="12">
                  <c:v>25</c:v>
                </c:pt>
              </c:numCache>
            </c:numRef>
          </c:val>
          <c:extLst>
            <c:ext xmlns:c16="http://schemas.microsoft.com/office/drawing/2014/chart" uri="{C3380CC4-5D6E-409C-BE32-E72D297353CC}">
              <c16:uniqueId val="{00000002-4E73-49CD-A3F5-F5629D41E95F}"/>
            </c:ext>
          </c:extLst>
        </c:ser>
        <c:ser>
          <c:idx val="1"/>
          <c:order val="3"/>
          <c:tx>
            <c:strRef>
              <c:f>'Low Case'!$A$129</c:f>
              <c:strCache>
                <c:ptCount val="1"/>
                <c:pt idx="0">
                  <c:v>Waste mined - Beta Pit</c:v>
                </c:pt>
              </c:strCache>
            </c:strRef>
          </c:tx>
          <c:spPr>
            <a:solidFill>
              <a:schemeClr val="accent4">
                <a:lumMod val="40000"/>
                <a:lumOff val="60000"/>
              </a:schemeClr>
            </a:solidFill>
          </c:spPr>
          <c:invertIfNegative val="0"/>
          <c:val>
            <c:numRef>
              <c:f>'Low Case'!$D$129:$AD$129</c:f>
              <c:numCache>
                <c:formatCode>#,##0</c:formatCode>
                <c:ptCount val="27"/>
                <c:pt idx="6">
                  <c:v>42</c:v>
                </c:pt>
                <c:pt idx="7">
                  <c:v>52</c:v>
                </c:pt>
                <c:pt idx="8">
                  <c:v>52</c:v>
                </c:pt>
                <c:pt idx="9">
                  <c:v>52</c:v>
                </c:pt>
                <c:pt idx="10">
                  <c:v>52</c:v>
                </c:pt>
                <c:pt idx="11">
                  <c:v>52</c:v>
                </c:pt>
                <c:pt idx="12">
                  <c:v>65</c:v>
                </c:pt>
                <c:pt idx="13">
                  <c:v>65</c:v>
                </c:pt>
                <c:pt idx="14">
                  <c:v>65</c:v>
                </c:pt>
                <c:pt idx="15">
                  <c:v>50</c:v>
                </c:pt>
              </c:numCache>
            </c:numRef>
          </c:val>
          <c:extLst>
            <c:ext xmlns:c16="http://schemas.microsoft.com/office/drawing/2014/chart" uri="{C3380CC4-5D6E-409C-BE32-E72D297353CC}">
              <c16:uniqueId val="{00000003-4E73-49CD-A3F5-F5629D41E95F}"/>
            </c:ext>
          </c:extLst>
        </c:ser>
        <c:dLbls>
          <c:showLegendKey val="0"/>
          <c:showVal val="0"/>
          <c:showCatName val="0"/>
          <c:showSerName val="0"/>
          <c:showPercent val="0"/>
          <c:showBubbleSize val="0"/>
        </c:dLbls>
        <c:gapWidth val="0"/>
        <c:overlap val="100"/>
        <c:axId val="371322488"/>
        <c:axId val="371325232"/>
      </c:barChart>
      <c:catAx>
        <c:axId val="371322488"/>
        <c:scaling>
          <c:orientation val="minMax"/>
        </c:scaling>
        <c:delete val="0"/>
        <c:axPos val="b"/>
        <c:numFmt formatCode="0" sourceLinked="1"/>
        <c:majorTickMark val="out"/>
        <c:minorTickMark val="none"/>
        <c:tickLblPos val="nextTo"/>
        <c:txPr>
          <a:bodyPr/>
          <a:lstStyle/>
          <a:p>
            <a:pPr algn="ctr">
              <a:defRPr sz="1000"/>
            </a:pPr>
            <a:endParaRPr lang="en-US"/>
          </a:p>
        </c:txPr>
        <c:crossAx val="371325232"/>
        <c:crosses val="autoZero"/>
        <c:auto val="1"/>
        <c:lblAlgn val="ctr"/>
        <c:lblOffset val="100"/>
        <c:noMultiLvlLbl val="0"/>
      </c:catAx>
      <c:valAx>
        <c:axId val="371325232"/>
        <c:scaling>
          <c:orientation val="minMax"/>
        </c:scaling>
        <c:delete val="0"/>
        <c:axPos val="l"/>
        <c:majorGridlines/>
        <c:title>
          <c:tx>
            <c:rich>
              <a:bodyPr rot="-5400000" vert="horz"/>
              <a:lstStyle/>
              <a:p>
                <a:pPr>
                  <a:defRPr sz="1200" b="1"/>
                </a:pPr>
                <a:r>
                  <a:rPr lang="en-US" sz="1200" b="1"/>
                  <a:t>millions tonnes</a:t>
                </a:r>
              </a:p>
            </c:rich>
          </c:tx>
          <c:layout>
            <c:manualLayout>
              <c:xMode val="edge"/>
              <c:yMode val="edge"/>
              <c:x val="2.6048188613101562E-2"/>
              <c:y val="0.27063836471812597"/>
            </c:manualLayout>
          </c:layout>
          <c:overlay val="0"/>
        </c:title>
        <c:numFmt formatCode="#,##0" sourceLinked="0"/>
        <c:majorTickMark val="out"/>
        <c:minorTickMark val="none"/>
        <c:tickLblPos val="nextTo"/>
        <c:txPr>
          <a:bodyPr/>
          <a:lstStyle/>
          <a:p>
            <a:pPr algn="ctr">
              <a:defRPr lang="en-AU" sz="1000" b="0" i="0" u="none" strike="noStrike" kern="1200" baseline="0">
                <a:solidFill>
                  <a:sysClr val="windowText" lastClr="000000"/>
                </a:solidFill>
                <a:latin typeface="+mn-lt"/>
                <a:ea typeface="+mn-ea"/>
                <a:cs typeface="+mn-cs"/>
              </a:defRPr>
            </a:pPr>
            <a:endParaRPr lang="en-US"/>
          </a:p>
        </c:txPr>
        <c:crossAx val="371322488"/>
        <c:crosses val="autoZero"/>
        <c:crossBetween val="between"/>
      </c:valAx>
    </c:plotArea>
    <c:legend>
      <c:legendPos val="b"/>
      <c:layout>
        <c:manualLayout>
          <c:xMode val="edge"/>
          <c:yMode val="edge"/>
          <c:x val="4.9933951645162192E-2"/>
          <c:y val="0.80466000353447098"/>
          <c:w val="0.95006596545588784"/>
          <c:h val="0.14742461431722531"/>
        </c:manualLayout>
      </c:layout>
      <c:overlay val="0"/>
      <c:txPr>
        <a:bodyPr/>
        <a:lstStyle/>
        <a:p>
          <a:pPr>
            <a:defRPr sz="1000"/>
          </a:pPr>
          <a:endParaRPr lang="en-US"/>
        </a:p>
      </c:txPr>
    </c:legend>
    <c:plotVisOnly val="1"/>
    <c:dispBlanksAs val="gap"/>
    <c:showDLblsOverMax val="0"/>
  </c:chart>
  <c:txPr>
    <a:bodyPr/>
    <a:lstStyle/>
    <a:p>
      <a:pPr algn="ctr">
        <a:defRPr lang="en-AU" sz="1400" b="0" i="0" u="none" strike="noStrike" kern="1200" baseline="0">
          <a:solidFill>
            <a:sysClr val="windowText" lastClr="000000"/>
          </a:solidFill>
          <a:latin typeface="+mn-lt"/>
          <a:ea typeface="+mn-ea"/>
          <a:cs typeface="+mn-cs"/>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Copper: Sales</a:t>
            </a:r>
            <a:r>
              <a:rPr lang="en-US" sz="1600" baseline="0"/>
              <a:t> Volumes</a:t>
            </a:r>
            <a:r>
              <a:rPr lang="en-US" sz="1600"/>
              <a:t> </a:t>
            </a:r>
          </a:p>
        </c:rich>
      </c:tx>
      <c:layout>
        <c:manualLayout>
          <c:xMode val="edge"/>
          <c:yMode val="edge"/>
          <c:x val="0.2952579292074472"/>
          <c:y val="1.1414216447643871E-2"/>
        </c:manualLayout>
      </c:layout>
      <c:overlay val="0"/>
    </c:title>
    <c:autoTitleDeleted val="0"/>
    <c:plotArea>
      <c:layout>
        <c:manualLayout>
          <c:layoutTarget val="inner"/>
          <c:xMode val="edge"/>
          <c:yMode val="edge"/>
          <c:x val="0.15095060625614834"/>
          <c:y val="0.11247633068164936"/>
          <c:w val="0.68647960465527091"/>
          <c:h val="0.51023000769843729"/>
        </c:manualLayout>
      </c:layout>
      <c:barChart>
        <c:barDir val="col"/>
        <c:grouping val="clustered"/>
        <c:varyColors val="0"/>
        <c:ser>
          <c:idx val="2"/>
          <c:order val="0"/>
          <c:tx>
            <c:strRef>
              <c:f>'Low Case'!$A$170</c:f>
              <c:strCache>
                <c:ptCount val="1"/>
                <c:pt idx="0">
                  <c:v>copper conc - contained copper - Low Case</c:v>
                </c:pt>
              </c:strCache>
            </c:strRef>
          </c:tx>
          <c:spPr>
            <a:solidFill>
              <a:srgbClr val="FFC000"/>
            </a:solidFill>
          </c:spPr>
          <c:invertIfNegative val="0"/>
          <c:cat>
            <c:numRef>
              <c:f>'Low Case'!$D$94:$AD$94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'Low Case'!$D$170:$AD$170</c:f>
              <c:numCache>
                <c:formatCode>#,##0</c:formatCode>
                <c:ptCount val="27"/>
                <c:pt idx="0">
                  <c:v>0</c:v>
                </c:pt>
                <c:pt idx="1">
                  <c:v>0</c:v>
                </c:pt>
                <c:pt idx="2">
                  <c:v>30.989538461538466</c:v>
                </c:pt>
                <c:pt idx="3">
                  <c:v>51.744</c:v>
                </c:pt>
                <c:pt idx="4">
                  <c:v>51.744</c:v>
                </c:pt>
                <c:pt idx="5">
                  <c:v>51.744</c:v>
                </c:pt>
                <c:pt idx="6">
                  <c:v>54.302769230769229</c:v>
                </c:pt>
                <c:pt idx="7">
                  <c:v>47.479384615384618</c:v>
                </c:pt>
                <c:pt idx="8">
                  <c:v>49.05599999999999</c:v>
                </c:pt>
                <c:pt idx="9">
                  <c:v>49.05599999999999</c:v>
                </c:pt>
                <c:pt idx="10">
                  <c:v>49.05599999999999</c:v>
                </c:pt>
                <c:pt idx="11">
                  <c:v>49.05599999999999</c:v>
                </c:pt>
                <c:pt idx="12">
                  <c:v>49.28861538461539</c:v>
                </c:pt>
                <c:pt idx="13">
                  <c:v>47.04</c:v>
                </c:pt>
                <c:pt idx="14">
                  <c:v>47.04</c:v>
                </c:pt>
                <c:pt idx="15">
                  <c:v>47.04</c:v>
                </c:pt>
                <c:pt idx="16">
                  <c:v>52.46769230769231</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0-C37E-4ED8-8A7F-43F21DB31CF3}"/>
            </c:ext>
          </c:extLst>
        </c:ser>
        <c:dLbls>
          <c:showLegendKey val="0"/>
          <c:showVal val="0"/>
          <c:showCatName val="0"/>
          <c:showSerName val="0"/>
          <c:showPercent val="0"/>
          <c:showBubbleSize val="0"/>
        </c:dLbls>
        <c:gapWidth val="50"/>
        <c:axId val="371321312"/>
        <c:axId val="371320528"/>
      </c:barChart>
      <c:lineChart>
        <c:grouping val="standard"/>
        <c:varyColors val="0"/>
        <c:ser>
          <c:idx val="1"/>
          <c:order val="1"/>
          <c:tx>
            <c:strRef>
              <c:f>'Low Case'!$A$296</c:f>
              <c:strCache>
                <c:ptCount val="1"/>
                <c:pt idx="0">
                  <c:v>copper concentrate sold</c:v>
                </c:pt>
              </c:strCache>
            </c:strRef>
          </c:tx>
          <c:spPr>
            <a:ln w="88900">
              <a:solidFill>
                <a:srgbClr val="66FF33"/>
              </a:solidFill>
              <a:prstDash val="sysDot"/>
            </a:ln>
          </c:spPr>
          <c:marker>
            <c:symbol val="none"/>
          </c:marker>
          <c:cat>
            <c:numRef>
              <c:f>'Low Case'!$D$94:$N$94</c:f>
              <c:numCache>
                <c:formatCode>0</c:formatCode>
                <c:ptCount val="11"/>
                <c:pt idx="0">
                  <c:v>2027</c:v>
                </c:pt>
                <c:pt idx="1">
                  <c:v>2028</c:v>
                </c:pt>
                <c:pt idx="2">
                  <c:v>2029</c:v>
                </c:pt>
                <c:pt idx="3">
                  <c:v>2030</c:v>
                </c:pt>
                <c:pt idx="4">
                  <c:v>2031</c:v>
                </c:pt>
                <c:pt idx="5">
                  <c:v>2032</c:v>
                </c:pt>
                <c:pt idx="6">
                  <c:v>2033</c:v>
                </c:pt>
                <c:pt idx="7">
                  <c:v>2034</c:v>
                </c:pt>
                <c:pt idx="8">
                  <c:v>2035</c:v>
                </c:pt>
                <c:pt idx="9">
                  <c:v>2036</c:v>
                </c:pt>
                <c:pt idx="10">
                  <c:v>2037</c:v>
                </c:pt>
              </c:numCache>
            </c:numRef>
          </c:cat>
          <c:val>
            <c:numRef>
              <c:f>'Low Case'!$D$296:$AD$296</c:f>
              <c:numCache>
                <c:formatCode>#,##0</c:formatCode>
                <c:ptCount val="27"/>
                <c:pt idx="0">
                  <c:v>0</c:v>
                </c:pt>
                <c:pt idx="1">
                  <c:v>0</c:v>
                </c:pt>
                <c:pt idx="2">
                  <c:v>82.664401603359423</c:v>
                </c:pt>
                <c:pt idx="3">
                  <c:v>155.32865050582171</c:v>
                </c:pt>
                <c:pt idx="4">
                  <c:v>166.91612903225806</c:v>
                </c:pt>
                <c:pt idx="5">
                  <c:v>166.91612903225806</c:v>
                </c:pt>
                <c:pt idx="6">
                  <c:v>173.74163008207671</c:v>
                </c:pt>
                <c:pt idx="7">
                  <c:v>156.96888719221226</c:v>
                </c:pt>
                <c:pt idx="8">
                  <c:v>157.36491696888714</c:v>
                </c:pt>
                <c:pt idx="9">
                  <c:v>158.24516129032253</c:v>
                </c:pt>
                <c:pt idx="10">
                  <c:v>158.24516129032253</c:v>
                </c:pt>
                <c:pt idx="11">
                  <c:v>158.24516129032253</c:v>
                </c:pt>
                <c:pt idx="12">
                  <c:v>158.86566138576063</c:v>
                </c:pt>
                <c:pt idx="13">
                  <c:v>152.99736590952475</c:v>
                </c:pt>
                <c:pt idx="14">
                  <c:v>151.74193548387098</c:v>
                </c:pt>
                <c:pt idx="15">
                  <c:v>151.74193548387098</c:v>
                </c:pt>
                <c:pt idx="16">
                  <c:v>195.5136476426799</c:v>
                </c:pt>
                <c:pt idx="17">
                  <c:v>0</c:v>
                </c:pt>
                <c:pt idx="18">
                  <c:v>0</c:v>
                </c:pt>
                <c:pt idx="19">
                  <c:v>0</c:v>
                </c:pt>
                <c:pt idx="20">
                  <c:v>0</c:v>
                </c:pt>
                <c:pt idx="21">
                  <c:v>0</c:v>
                </c:pt>
                <c:pt idx="22">
                  <c:v>0</c:v>
                </c:pt>
                <c:pt idx="23">
                  <c:v>0</c:v>
                </c:pt>
                <c:pt idx="24">
                  <c:v>0</c:v>
                </c:pt>
                <c:pt idx="25">
                  <c:v>0</c:v>
                </c:pt>
                <c:pt idx="26">
                  <c:v>0</c:v>
                </c:pt>
              </c:numCache>
            </c:numRef>
          </c:val>
          <c:smooth val="0"/>
          <c:extLst>
            <c:ext xmlns:c16="http://schemas.microsoft.com/office/drawing/2014/chart" uri="{C3380CC4-5D6E-409C-BE32-E72D297353CC}">
              <c16:uniqueId val="{00000001-C37E-4ED8-8A7F-43F21DB31CF3}"/>
            </c:ext>
          </c:extLst>
        </c:ser>
        <c:dLbls>
          <c:showLegendKey val="0"/>
          <c:showVal val="0"/>
          <c:showCatName val="0"/>
          <c:showSerName val="0"/>
          <c:showPercent val="0"/>
          <c:showBubbleSize val="0"/>
        </c:dLbls>
        <c:marker val="1"/>
        <c:smooth val="0"/>
        <c:axId val="371326408"/>
        <c:axId val="371319352"/>
      </c:lineChart>
      <c:catAx>
        <c:axId val="371321312"/>
        <c:scaling>
          <c:orientation val="minMax"/>
        </c:scaling>
        <c:delete val="0"/>
        <c:axPos val="b"/>
        <c:numFmt formatCode="0" sourceLinked="1"/>
        <c:majorTickMark val="out"/>
        <c:minorTickMark val="none"/>
        <c:tickLblPos val="nextTo"/>
        <c:txPr>
          <a:bodyPr/>
          <a:lstStyle/>
          <a:p>
            <a:pPr>
              <a:defRPr sz="1000"/>
            </a:pPr>
            <a:endParaRPr lang="en-US"/>
          </a:p>
        </c:txPr>
        <c:crossAx val="371320528"/>
        <c:crosses val="autoZero"/>
        <c:auto val="1"/>
        <c:lblAlgn val="ctr"/>
        <c:lblOffset val="100"/>
        <c:noMultiLvlLbl val="0"/>
      </c:catAx>
      <c:valAx>
        <c:axId val="371320528"/>
        <c:scaling>
          <c:orientation val="minMax"/>
        </c:scaling>
        <c:delete val="0"/>
        <c:axPos val="l"/>
        <c:majorGridlines/>
        <c:title>
          <c:tx>
            <c:rich>
              <a:bodyPr rot="-5400000" vert="horz"/>
              <a:lstStyle/>
              <a:p>
                <a:pPr>
                  <a:defRPr sz="1200">
                    <a:solidFill>
                      <a:srgbClr val="FFC000"/>
                    </a:solidFill>
                  </a:defRPr>
                </a:pPr>
                <a:r>
                  <a:rPr lang="en-US" sz="1200">
                    <a:solidFill>
                      <a:srgbClr val="FFC000"/>
                    </a:solidFill>
                  </a:rPr>
                  <a:t>Copper Tonnes  - 000s</a:t>
                </a:r>
              </a:p>
            </c:rich>
          </c:tx>
          <c:layout>
            <c:manualLayout>
              <c:xMode val="edge"/>
              <c:yMode val="edge"/>
              <c:x val="1.2593641916255794E-2"/>
              <c:y val="0.13085992895827986"/>
            </c:manualLayout>
          </c:layout>
          <c:overlay val="0"/>
        </c:title>
        <c:numFmt formatCode="#,##0" sourceLinked="1"/>
        <c:majorTickMark val="out"/>
        <c:minorTickMark val="none"/>
        <c:tickLblPos val="nextTo"/>
        <c:txPr>
          <a:bodyPr/>
          <a:lstStyle/>
          <a:p>
            <a:pPr>
              <a:defRPr sz="1000" b="1" baseline="0">
                <a:solidFill>
                  <a:srgbClr val="FFC000"/>
                </a:solidFill>
              </a:defRPr>
            </a:pPr>
            <a:endParaRPr lang="en-US"/>
          </a:p>
        </c:txPr>
        <c:crossAx val="371321312"/>
        <c:crosses val="autoZero"/>
        <c:crossBetween val="between"/>
      </c:valAx>
      <c:catAx>
        <c:axId val="371326408"/>
        <c:scaling>
          <c:orientation val="minMax"/>
        </c:scaling>
        <c:delete val="1"/>
        <c:axPos val="b"/>
        <c:numFmt formatCode="0" sourceLinked="1"/>
        <c:majorTickMark val="out"/>
        <c:minorTickMark val="none"/>
        <c:tickLblPos val="none"/>
        <c:crossAx val="371319352"/>
        <c:crosses val="autoZero"/>
        <c:auto val="1"/>
        <c:lblAlgn val="ctr"/>
        <c:lblOffset val="100"/>
        <c:noMultiLvlLbl val="0"/>
      </c:catAx>
      <c:valAx>
        <c:axId val="371319352"/>
        <c:scaling>
          <c:orientation val="minMax"/>
        </c:scaling>
        <c:delete val="0"/>
        <c:axPos val="r"/>
        <c:title>
          <c:tx>
            <c:rich>
              <a:bodyPr rot="-5400000" vert="horz"/>
              <a:lstStyle/>
              <a:p>
                <a:pPr>
                  <a:defRPr sz="1200">
                    <a:solidFill>
                      <a:srgbClr val="37E600"/>
                    </a:solidFill>
                  </a:defRPr>
                </a:pPr>
                <a:r>
                  <a:rPr lang="en-US" sz="1200">
                    <a:solidFill>
                      <a:srgbClr val="37E600"/>
                    </a:solidFill>
                  </a:rPr>
                  <a:t>Concentrate dry tonnes 000's</a:t>
                </a:r>
              </a:p>
            </c:rich>
          </c:tx>
          <c:layout>
            <c:manualLayout>
              <c:xMode val="edge"/>
              <c:yMode val="edge"/>
              <c:x val="0.9256308411214953"/>
              <c:y val="7.5998703421077507E-2"/>
            </c:manualLayout>
          </c:layout>
          <c:overlay val="0"/>
        </c:title>
        <c:numFmt formatCode="#,##0" sourceLinked="1"/>
        <c:majorTickMark val="out"/>
        <c:minorTickMark val="none"/>
        <c:tickLblPos val="nextTo"/>
        <c:txPr>
          <a:bodyPr/>
          <a:lstStyle/>
          <a:p>
            <a:pPr>
              <a:defRPr sz="1000" b="1" baseline="0">
                <a:solidFill>
                  <a:srgbClr val="37E600"/>
                </a:solidFill>
              </a:defRPr>
            </a:pPr>
            <a:endParaRPr lang="en-US"/>
          </a:p>
        </c:txPr>
        <c:crossAx val="371326408"/>
        <c:crosses val="max"/>
        <c:crossBetween val="between"/>
      </c:valAx>
    </c:plotArea>
    <c:legend>
      <c:legendPos val="b"/>
      <c:layout>
        <c:manualLayout>
          <c:xMode val="edge"/>
          <c:yMode val="edge"/>
          <c:x val="0.11852467856828959"/>
          <c:y val="0.78423864507808805"/>
          <c:w val="0.78334443299727718"/>
          <c:h val="0.20082675934222782"/>
        </c:manualLayout>
      </c:layout>
      <c:overlay val="0"/>
      <c:txPr>
        <a:bodyPr/>
        <a:lstStyle/>
        <a:p>
          <a:pPr>
            <a:defRPr sz="1000" b="1"/>
          </a:pPr>
          <a:endParaRPr lang="en-US"/>
        </a:p>
      </c:txPr>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NPV </a:t>
            </a:r>
            <a:r>
              <a:rPr lang="en-US" sz="1600" b="0"/>
              <a:t>- low case </a:t>
            </a:r>
          </a:p>
        </c:rich>
      </c:tx>
      <c:layout>
        <c:manualLayout>
          <c:xMode val="edge"/>
          <c:yMode val="edge"/>
          <c:x val="0.20321711539759788"/>
          <c:y val="5.9893469656568665E-2"/>
        </c:manualLayout>
      </c:layout>
      <c:overlay val="0"/>
    </c:title>
    <c:autoTitleDeleted val="0"/>
    <c:plotArea>
      <c:layout>
        <c:manualLayout>
          <c:layoutTarget val="inner"/>
          <c:xMode val="edge"/>
          <c:yMode val="edge"/>
          <c:x val="0.14939346143696183"/>
          <c:y val="5.9910251180138693E-2"/>
          <c:w val="0.82336551267023017"/>
          <c:h val="0.77129046731755313"/>
        </c:manualLayout>
      </c:layout>
      <c:barChart>
        <c:barDir val="col"/>
        <c:grouping val="stacked"/>
        <c:varyColors val="0"/>
        <c:ser>
          <c:idx val="0"/>
          <c:order val="0"/>
          <c:tx>
            <c:strRef>
              <c:f>'Low Case'!$A$757</c:f>
              <c:strCache>
                <c:ptCount val="1"/>
                <c:pt idx="0">
                  <c:v>Discounted Cashflow</c:v>
                </c:pt>
              </c:strCache>
            </c:strRef>
          </c:tx>
          <c:spPr>
            <a:solidFill>
              <a:srgbClr val="00B050"/>
            </a:solidFill>
            <a:ln>
              <a:noFill/>
            </a:ln>
          </c:spPr>
          <c:invertIfNegative val="0"/>
          <c:cat>
            <c:numRef>
              <c:f>'Expected NPV &amp; Common Data'!$D$36:$AD$36</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'Low Case'!$D$757:$AD$757</c:f>
              <c:numCache>
                <c:formatCode>#,##0_);[Red]\(#,##0\)</c:formatCode>
                <c:ptCount val="27"/>
                <c:pt idx="0">
                  <c:v>-247.56779542851146</c:v>
                </c:pt>
                <c:pt idx="1">
                  <c:v>-617.84497557028692</c:v>
                </c:pt>
                <c:pt idx="2">
                  <c:v>-67.61369694124528</c:v>
                </c:pt>
                <c:pt idx="3">
                  <c:v>118.9649455332125</c:v>
                </c:pt>
                <c:pt idx="4">
                  <c:v>80.707294324580246</c:v>
                </c:pt>
                <c:pt idx="5">
                  <c:v>67.068621973409137</c:v>
                </c:pt>
                <c:pt idx="6">
                  <c:v>41.630960631259846</c:v>
                </c:pt>
                <c:pt idx="7">
                  <c:v>6.8436998531459778</c:v>
                </c:pt>
                <c:pt idx="8">
                  <c:v>-13.639370864392841</c:v>
                </c:pt>
                <c:pt idx="9">
                  <c:v>-21.751362388222407</c:v>
                </c:pt>
                <c:pt idx="10">
                  <c:v>-15.668975000582307</c:v>
                </c:pt>
                <c:pt idx="11">
                  <c:v>-15.219674206373918</c:v>
                </c:pt>
                <c:pt idx="12">
                  <c:v>-2.4125121879394147</c:v>
                </c:pt>
                <c:pt idx="13">
                  <c:v>0.10560619815437675</c:v>
                </c:pt>
                <c:pt idx="14">
                  <c:v>-1.0244776960648225</c:v>
                </c:pt>
                <c:pt idx="15">
                  <c:v>12.104523279565173</c:v>
                </c:pt>
                <c:pt idx="16">
                  <c:v>17.241750279439621</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0-ECCA-40AB-AD5C-141035FAD54D}"/>
            </c:ext>
          </c:extLst>
        </c:ser>
        <c:dLbls>
          <c:showLegendKey val="0"/>
          <c:showVal val="0"/>
          <c:showCatName val="0"/>
          <c:showSerName val="0"/>
          <c:showPercent val="0"/>
          <c:showBubbleSize val="0"/>
        </c:dLbls>
        <c:gapWidth val="0"/>
        <c:overlap val="100"/>
        <c:axId val="371322096"/>
        <c:axId val="371323272"/>
      </c:barChart>
      <c:lineChart>
        <c:grouping val="standard"/>
        <c:varyColors val="0"/>
        <c:ser>
          <c:idx val="1"/>
          <c:order val="1"/>
          <c:tx>
            <c:strRef>
              <c:f>'Low Case'!$A$758</c:f>
              <c:strCache>
                <c:ptCount val="1"/>
                <c:pt idx="0">
                  <c:v>Cumulative NPV</c:v>
                </c:pt>
              </c:strCache>
            </c:strRef>
          </c:tx>
          <c:spPr>
            <a:ln w="28575">
              <a:solidFill>
                <a:srgbClr val="00FF00"/>
              </a:solidFill>
            </a:ln>
          </c:spPr>
          <c:marker>
            <c:symbol val="none"/>
          </c:marker>
          <c:cat>
            <c:numRef>
              <c:f>'Expected NPV &amp; Common Data'!$D$36:$AD$36</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'Low Case'!$D$758:$AD$758</c:f>
              <c:numCache>
                <c:formatCode>#,##0_);[Red]\(#,##0\)</c:formatCode>
                <c:ptCount val="27"/>
                <c:pt idx="0">
                  <c:v>-247.56779542851146</c:v>
                </c:pt>
                <c:pt idx="1">
                  <c:v>-865.41277099879835</c:v>
                </c:pt>
                <c:pt idx="2">
                  <c:v>-933.02646794004363</c:v>
                </c:pt>
                <c:pt idx="3">
                  <c:v>-814.06152240683116</c:v>
                </c:pt>
                <c:pt idx="4">
                  <c:v>-733.35422808225087</c:v>
                </c:pt>
                <c:pt idx="5">
                  <c:v>-666.28560610884176</c:v>
                </c:pt>
                <c:pt idx="6">
                  <c:v>-624.65464547758188</c:v>
                </c:pt>
                <c:pt idx="7">
                  <c:v>-617.81094562443593</c:v>
                </c:pt>
                <c:pt idx="8">
                  <c:v>-631.45031648882878</c:v>
                </c:pt>
                <c:pt idx="9">
                  <c:v>-653.20167887705122</c:v>
                </c:pt>
                <c:pt idx="10">
                  <c:v>-668.87065387763357</c:v>
                </c:pt>
                <c:pt idx="11">
                  <c:v>-684.09032808400752</c:v>
                </c:pt>
                <c:pt idx="12">
                  <c:v>-686.50284027194698</c:v>
                </c:pt>
                <c:pt idx="13">
                  <c:v>-686.39723407379256</c:v>
                </c:pt>
                <c:pt idx="14">
                  <c:v>-687.42171176985744</c:v>
                </c:pt>
                <c:pt idx="15">
                  <c:v>-675.31718849029221</c:v>
                </c:pt>
                <c:pt idx="16">
                  <c:v>-658.07543821085255</c:v>
                </c:pt>
                <c:pt idx="17">
                  <c:v>-658.07543821085255</c:v>
                </c:pt>
                <c:pt idx="18">
                  <c:v>-658.07543821085255</c:v>
                </c:pt>
                <c:pt idx="19">
                  <c:v>-658.07543821085255</c:v>
                </c:pt>
                <c:pt idx="20">
                  <c:v>-658.07543821085255</c:v>
                </c:pt>
                <c:pt idx="21">
                  <c:v>-658.07543821085255</c:v>
                </c:pt>
                <c:pt idx="22">
                  <c:v>-658.07543821085255</c:v>
                </c:pt>
                <c:pt idx="23">
                  <c:v>-658.07543821085255</c:v>
                </c:pt>
                <c:pt idx="24">
                  <c:v>-658.07543821085255</c:v>
                </c:pt>
                <c:pt idx="25">
                  <c:v>-658.07543821085255</c:v>
                </c:pt>
                <c:pt idx="26">
                  <c:v>-658.07543821085255</c:v>
                </c:pt>
              </c:numCache>
            </c:numRef>
          </c:val>
          <c:smooth val="0"/>
          <c:extLst>
            <c:ext xmlns:c16="http://schemas.microsoft.com/office/drawing/2014/chart" uri="{C3380CC4-5D6E-409C-BE32-E72D297353CC}">
              <c16:uniqueId val="{00000001-ECCA-40AB-AD5C-141035FAD54D}"/>
            </c:ext>
          </c:extLst>
        </c:ser>
        <c:dLbls>
          <c:showLegendKey val="0"/>
          <c:showVal val="0"/>
          <c:showCatName val="0"/>
          <c:showSerName val="0"/>
          <c:showPercent val="0"/>
          <c:showBubbleSize val="0"/>
        </c:dLbls>
        <c:marker val="1"/>
        <c:smooth val="0"/>
        <c:axId val="371322096"/>
        <c:axId val="371323272"/>
      </c:lineChart>
      <c:catAx>
        <c:axId val="371322096"/>
        <c:scaling>
          <c:orientation val="minMax"/>
        </c:scaling>
        <c:delete val="0"/>
        <c:axPos val="b"/>
        <c:numFmt formatCode="0" sourceLinked="1"/>
        <c:majorTickMark val="out"/>
        <c:minorTickMark val="none"/>
        <c:tickLblPos val="nextTo"/>
        <c:txPr>
          <a:bodyPr/>
          <a:lstStyle/>
          <a:p>
            <a:pPr>
              <a:defRPr sz="1050" b="0"/>
            </a:pPr>
            <a:endParaRPr lang="en-US"/>
          </a:p>
        </c:txPr>
        <c:crossAx val="371323272"/>
        <c:crosses val="autoZero"/>
        <c:auto val="1"/>
        <c:lblAlgn val="ctr"/>
        <c:lblOffset val="100"/>
        <c:noMultiLvlLbl val="0"/>
      </c:catAx>
      <c:valAx>
        <c:axId val="371323272"/>
        <c:scaling>
          <c:orientation val="minMax"/>
        </c:scaling>
        <c:delete val="0"/>
        <c:axPos val="l"/>
        <c:majorGridlines/>
        <c:title>
          <c:tx>
            <c:rich>
              <a:bodyPr rot="-5400000" vert="horz"/>
              <a:lstStyle/>
              <a:p>
                <a:pPr>
                  <a:defRPr sz="1200" b="0">
                    <a:solidFill>
                      <a:srgbClr val="00B050"/>
                    </a:solidFill>
                  </a:defRPr>
                </a:pPr>
                <a:r>
                  <a:rPr lang="en-US" sz="1200" b="0">
                    <a:solidFill>
                      <a:srgbClr val="00B050"/>
                    </a:solidFill>
                  </a:rPr>
                  <a:t>US$ Millions Real</a:t>
                </a:r>
              </a:p>
            </c:rich>
          </c:tx>
          <c:layout>
            <c:manualLayout>
              <c:xMode val="edge"/>
              <c:yMode val="edge"/>
              <c:x val="1.6170768392842341E-2"/>
              <c:y val="0.20678074458569781"/>
            </c:manualLayout>
          </c:layout>
          <c:overlay val="0"/>
        </c:title>
        <c:numFmt formatCode="#,##0" sourceLinked="0"/>
        <c:majorTickMark val="out"/>
        <c:minorTickMark val="none"/>
        <c:tickLblPos val="nextTo"/>
        <c:txPr>
          <a:bodyPr/>
          <a:lstStyle/>
          <a:p>
            <a:pPr>
              <a:defRPr sz="1000" b="0">
                <a:solidFill>
                  <a:srgbClr val="00B050"/>
                </a:solidFill>
              </a:defRPr>
            </a:pPr>
            <a:endParaRPr lang="en-US"/>
          </a:p>
        </c:txPr>
        <c:crossAx val="371322096"/>
        <c:crosses val="autoZero"/>
        <c:crossBetween val="between"/>
      </c:valAx>
    </c:plotArea>
    <c:legend>
      <c:legendPos val="b"/>
      <c:layout>
        <c:manualLayout>
          <c:xMode val="edge"/>
          <c:yMode val="edge"/>
          <c:x val="2.3239789831465876E-2"/>
          <c:y val="0.84490116207303967"/>
          <c:w val="0.94215320487536447"/>
          <c:h val="0.13278021713190738"/>
        </c:manualLayout>
      </c:layout>
      <c:overlay val="0"/>
      <c:txPr>
        <a:bodyPr/>
        <a:lstStyle/>
        <a:p>
          <a:pPr>
            <a:defRPr sz="1000" b="0"/>
          </a:pPr>
          <a:endParaRPr lang="en-US"/>
        </a:p>
      </c:txPr>
    </c:legend>
    <c:plotVisOnly val="1"/>
    <c:dispBlanksAs val="gap"/>
    <c:showDLblsOverMax val="0"/>
  </c:chart>
  <c:txPr>
    <a:bodyPr/>
    <a:lstStyle/>
    <a:p>
      <a:pPr algn="ctr">
        <a:defRPr lang="en-AU" sz="1600" b="1" i="0" u="none" strike="noStrike" kern="1200" baseline="0">
          <a:solidFill>
            <a:sysClr val="windowText" lastClr="000000"/>
          </a:solidFill>
          <a:latin typeface="+mn-lt"/>
          <a:ea typeface="+mn-ea"/>
          <a:cs typeface="+mn-cs"/>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Cash Generation </a:t>
            </a:r>
            <a:r>
              <a:rPr lang="en-US" sz="1400" b="0"/>
              <a:t>- </a:t>
            </a:r>
            <a:r>
              <a:rPr lang="en-US" sz="1400" b="0">
                <a:solidFill>
                  <a:schemeClr val="accent6">
                    <a:lumMod val="75000"/>
                  </a:schemeClr>
                </a:solidFill>
              </a:rPr>
              <a:t>mid case </a:t>
            </a:r>
          </a:p>
        </c:rich>
      </c:tx>
      <c:layout>
        <c:manualLayout>
          <c:xMode val="edge"/>
          <c:yMode val="edge"/>
          <c:x val="0.22192327284108973"/>
          <c:y val="4.3589114853267226E-2"/>
        </c:manualLayout>
      </c:layout>
      <c:overlay val="0"/>
    </c:title>
    <c:autoTitleDeleted val="0"/>
    <c:plotArea>
      <c:layout>
        <c:manualLayout>
          <c:layoutTarget val="inner"/>
          <c:xMode val="edge"/>
          <c:yMode val="edge"/>
          <c:x val="0.16700051512252556"/>
          <c:y val="5.9910251180138693E-2"/>
          <c:w val="0.80072485098241231"/>
          <c:h val="0.76572054335867135"/>
        </c:manualLayout>
      </c:layout>
      <c:barChart>
        <c:barDir val="col"/>
        <c:grouping val="stacked"/>
        <c:varyColors val="0"/>
        <c:ser>
          <c:idx val="0"/>
          <c:order val="0"/>
          <c:tx>
            <c:strRef>
              <c:f>'Mid Case'!$A$748</c:f>
              <c:strCache>
                <c:ptCount val="1"/>
                <c:pt idx="0">
                  <c:v>Cash Generation - Mid Case</c:v>
                </c:pt>
              </c:strCache>
            </c:strRef>
          </c:tx>
          <c:spPr>
            <a:solidFill>
              <a:schemeClr val="accent3">
                <a:lumMod val="40000"/>
                <a:lumOff val="60000"/>
              </a:schemeClr>
            </a:solidFill>
            <a:ln>
              <a:noFill/>
            </a:ln>
          </c:spPr>
          <c:invertIfNegative val="0"/>
          <c:cat>
            <c:numRef>
              <c:f>'Expected NPV &amp; Common Data'!$D$36:$AD$36</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'Mid Case'!$D$748:$AD$748</c:f>
              <c:numCache>
                <c:formatCode>#,##0_);[Red]\(#,##0\)</c:formatCode>
                <c:ptCount val="27"/>
                <c:pt idx="0">
                  <c:v>-278.72000000000003</c:v>
                </c:pt>
                <c:pt idx="1">
                  <c:v>-615.48500000000001</c:v>
                </c:pt>
                <c:pt idx="2">
                  <c:v>-2.6325615726248444</c:v>
                </c:pt>
                <c:pt idx="3">
                  <c:v>320.82295087143797</c:v>
                </c:pt>
                <c:pt idx="4">
                  <c:v>271.65290585824454</c:v>
                </c:pt>
                <c:pt idx="5">
                  <c:v>228.80286139239027</c:v>
                </c:pt>
                <c:pt idx="6">
                  <c:v>209.35751292840399</c:v>
                </c:pt>
                <c:pt idx="7">
                  <c:v>156.431732792216</c:v>
                </c:pt>
                <c:pt idx="8">
                  <c:v>102.67215891750872</c:v>
                </c:pt>
                <c:pt idx="9">
                  <c:v>74.846079182057565</c:v>
                </c:pt>
                <c:pt idx="10">
                  <c:v>83.528047811437403</c:v>
                </c:pt>
                <c:pt idx="11">
                  <c:v>80.363385968651116</c:v>
                </c:pt>
                <c:pt idx="12">
                  <c:v>106.14370380513084</c:v>
                </c:pt>
                <c:pt idx="13">
                  <c:v>99.998709094265578</c:v>
                </c:pt>
                <c:pt idx="14">
                  <c:v>95.952115007443638</c:v>
                </c:pt>
                <c:pt idx="15">
                  <c:v>125.75649663889823</c:v>
                </c:pt>
                <c:pt idx="16">
                  <c:v>256.49154346604172</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0-B320-4001-B3E1-6E0C5F4E0F90}"/>
            </c:ext>
          </c:extLst>
        </c:ser>
        <c:dLbls>
          <c:showLegendKey val="0"/>
          <c:showVal val="0"/>
          <c:showCatName val="0"/>
          <c:showSerName val="0"/>
          <c:showPercent val="0"/>
          <c:showBubbleSize val="0"/>
        </c:dLbls>
        <c:gapWidth val="0"/>
        <c:overlap val="100"/>
        <c:axId val="371322096"/>
        <c:axId val="371323272"/>
      </c:barChart>
      <c:lineChart>
        <c:grouping val="standard"/>
        <c:varyColors val="0"/>
        <c:ser>
          <c:idx val="1"/>
          <c:order val="1"/>
          <c:tx>
            <c:strRef>
              <c:f>'Mid Case'!$A$749</c:f>
              <c:strCache>
                <c:ptCount val="1"/>
                <c:pt idx="0">
                  <c:v>Cumuative Cash Generation</c:v>
                </c:pt>
              </c:strCache>
            </c:strRef>
          </c:tx>
          <c:spPr>
            <a:ln w="28575">
              <a:solidFill>
                <a:schemeClr val="accent3">
                  <a:lumMod val="75000"/>
                </a:schemeClr>
              </a:solidFill>
            </a:ln>
          </c:spPr>
          <c:marker>
            <c:symbol val="none"/>
          </c:marker>
          <c:cat>
            <c:numRef>
              <c:f>'Expected NPV &amp; Common Data'!$D$36:$AD$36</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'Mid Case'!$D$749:$AD$749</c:f>
              <c:numCache>
                <c:formatCode>#,##0_);[Red]\(#,##0\)</c:formatCode>
                <c:ptCount val="27"/>
                <c:pt idx="0">
                  <c:v>-278.72000000000003</c:v>
                </c:pt>
                <c:pt idx="1">
                  <c:v>-894.20500000000004</c:v>
                </c:pt>
                <c:pt idx="2">
                  <c:v>-896.83756157262485</c:v>
                </c:pt>
                <c:pt idx="3">
                  <c:v>-576.01461070118694</c:v>
                </c:pt>
                <c:pt idx="4">
                  <c:v>-304.3617048429424</c:v>
                </c:pt>
                <c:pt idx="5">
                  <c:v>-75.558843450552132</c:v>
                </c:pt>
                <c:pt idx="6">
                  <c:v>133.79866947785186</c:v>
                </c:pt>
                <c:pt idx="7">
                  <c:v>290.23040227006788</c:v>
                </c:pt>
                <c:pt idx="8">
                  <c:v>392.90256118757662</c:v>
                </c:pt>
                <c:pt idx="9">
                  <c:v>467.74864036963419</c:v>
                </c:pt>
                <c:pt idx="10">
                  <c:v>551.27668818107156</c:v>
                </c:pt>
                <c:pt idx="11">
                  <c:v>631.64007414972264</c:v>
                </c:pt>
                <c:pt idx="12">
                  <c:v>737.78377795485346</c:v>
                </c:pt>
                <c:pt idx="13">
                  <c:v>837.78248704911903</c:v>
                </c:pt>
                <c:pt idx="14">
                  <c:v>933.73460205656261</c:v>
                </c:pt>
                <c:pt idx="15">
                  <c:v>1059.4910986954608</c:v>
                </c:pt>
                <c:pt idx="16">
                  <c:v>1315.9826421615026</c:v>
                </c:pt>
                <c:pt idx="17">
                  <c:v>1315.9826421615026</c:v>
                </c:pt>
                <c:pt idx="18">
                  <c:v>1315.9826421615026</c:v>
                </c:pt>
                <c:pt idx="19">
                  <c:v>1315.9826421615026</c:v>
                </c:pt>
                <c:pt idx="20">
                  <c:v>1315.9826421615026</c:v>
                </c:pt>
                <c:pt idx="21">
                  <c:v>1315.9826421615026</c:v>
                </c:pt>
                <c:pt idx="22">
                  <c:v>1315.9826421615026</c:v>
                </c:pt>
                <c:pt idx="23">
                  <c:v>1315.9826421615026</c:v>
                </c:pt>
                <c:pt idx="24">
                  <c:v>1315.9826421615026</c:v>
                </c:pt>
                <c:pt idx="25">
                  <c:v>1315.9826421615026</c:v>
                </c:pt>
                <c:pt idx="26">
                  <c:v>1315.9826421615026</c:v>
                </c:pt>
              </c:numCache>
            </c:numRef>
          </c:val>
          <c:smooth val="0"/>
          <c:extLst>
            <c:ext xmlns:c16="http://schemas.microsoft.com/office/drawing/2014/chart" uri="{C3380CC4-5D6E-409C-BE32-E72D297353CC}">
              <c16:uniqueId val="{00000001-B320-4001-B3E1-6E0C5F4E0F90}"/>
            </c:ext>
          </c:extLst>
        </c:ser>
        <c:dLbls>
          <c:showLegendKey val="0"/>
          <c:showVal val="0"/>
          <c:showCatName val="0"/>
          <c:showSerName val="0"/>
          <c:showPercent val="0"/>
          <c:showBubbleSize val="0"/>
        </c:dLbls>
        <c:marker val="1"/>
        <c:smooth val="0"/>
        <c:axId val="371322096"/>
        <c:axId val="371323272"/>
      </c:lineChart>
      <c:catAx>
        <c:axId val="371322096"/>
        <c:scaling>
          <c:orientation val="minMax"/>
        </c:scaling>
        <c:delete val="0"/>
        <c:axPos val="b"/>
        <c:numFmt formatCode="0" sourceLinked="1"/>
        <c:majorTickMark val="out"/>
        <c:minorTickMark val="none"/>
        <c:tickLblPos val="nextTo"/>
        <c:txPr>
          <a:bodyPr/>
          <a:lstStyle/>
          <a:p>
            <a:pPr>
              <a:defRPr sz="900" b="0"/>
            </a:pPr>
            <a:endParaRPr lang="en-US"/>
          </a:p>
        </c:txPr>
        <c:crossAx val="371323272"/>
        <c:crosses val="autoZero"/>
        <c:auto val="1"/>
        <c:lblAlgn val="ctr"/>
        <c:lblOffset val="100"/>
        <c:noMultiLvlLbl val="0"/>
      </c:catAx>
      <c:valAx>
        <c:axId val="371323272"/>
        <c:scaling>
          <c:orientation val="minMax"/>
          <c:max val="3000"/>
          <c:min val="-1000"/>
        </c:scaling>
        <c:delete val="0"/>
        <c:axPos val="l"/>
        <c:majorGridlines/>
        <c:title>
          <c:tx>
            <c:rich>
              <a:bodyPr rot="-5400000" vert="horz"/>
              <a:lstStyle/>
              <a:p>
                <a:pPr>
                  <a:defRPr sz="1100" b="0">
                    <a:solidFill>
                      <a:srgbClr val="00B050"/>
                    </a:solidFill>
                  </a:defRPr>
                </a:pPr>
                <a:r>
                  <a:rPr lang="en-US" sz="1100" b="0">
                    <a:solidFill>
                      <a:srgbClr val="00B050"/>
                    </a:solidFill>
                  </a:rPr>
                  <a:t>US$ Millions Real</a:t>
                </a:r>
              </a:p>
            </c:rich>
          </c:tx>
          <c:layout>
            <c:manualLayout>
              <c:xMode val="edge"/>
              <c:yMode val="edge"/>
              <c:x val="1.6170768392842341E-2"/>
              <c:y val="0.20678074458569781"/>
            </c:manualLayout>
          </c:layout>
          <c:overlay val="0"/>
        </c:title>
        <c:numFmt formatCode="#,##0" sourceLinked="0"/>
        <c:majorTickMark val="out"/>
        <c:minorTickMark val="none"/>
        <c:tickLblPos val="nextTo"/>
        <c:txPr>
          <a:bodyPr/>
          <a:lstStyle/>
          <a:p>
            <a:pPr>
              <a:defRPr sz="1000" b="0">
                <a:solidFill>
                  <a:srgbClr val="00B050"/>
                </a:solidFill>
              </a:defRPr>
            </a:pPr>
            <a:endParaRPr lang="en-US"/>
          </a:p>
        </c:txPr>
        <c:crossAx val="371322096"/>
        <c:crosses val="autoZero"/>
        <c:crossBetween val="between"/>
      </c:valAx>
    </c:plotArea>
    <c:legend>
      <c:legendPos val="b"/>
      <c:layout>
        <c:manualLayout>
          <c:xMode val="edge"/>
          <c:yMode val="edge"/>
          <c:x val="2.3239789831465876E-2"/>
          <c:y val="0.81995028241624546"/>
          <c:w val="0.94215320487536447"/>
          <c:h val="0.15773115274356075"/>
        </c:manualLayout>
      </c:layout>
      <c:overlay val="0"/>
      <c:txPr>
        <a:bodyPr/>
        <a:lstStyle/>
        <a:p>
          <a:pPr>
            <a:defRPr sz="1000" b="0"/>
          </a:pPr>
          <a:endParaRPr lang="en-US"/>
        </a:p>
      </c:txPr>
    </c:legend>
    <c:plotVisOnly val="1"/>
    <c:dispBlanksAs val="gap"/>
    <c:showDLblsOverMax val="0"/>
  </c:chart>
  <c:txPr>
    <a:bodyPr/>
    <a:lstStyle/>
    <a:p>
      <a:pPr algn="ctr">
        <a:defRPr lang="en-AU" sz="1600" b="1" i="0" u="none" strike="noStrike" kern="1200" baseline="0">
          <a:solidFill>
            <a:sysClr val="windowText" lastClr="000000"/>
          </a:solidFill>
          <a:latin typeface="+mn-lt"/>
          <a:ea typeface="+mn-ea"/>
          <a:cs typeface="+mn-cs"/>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Opex</a:t>
            </a:r>
          </a:p>
        </c:rich>
      </c:tx>
      <c:layout>
        <c:manualLayout>
          <c:xMode val="edge"/>
          <c:yMode val="edge"/>
          <c:x val="0.41695289335715829"/>
          <c:y val="9.1478645025461073E-4"/>
        </c:manualLayout>
      </c:layout>
      <c:overlay val="1"/>
    </c:title>
    <c:autoTitleDeleted val="0"/>
    <c:plotArea>
      <c:layout>
        <c:manualLayout>
          <c:layoutTarget val="inner"/>
          <c:xMode val="edge"/>
          <c:yMode val="edge"/>
          <c:x val="0.17442142674809041"/>
          <c:y val="5.6719143724125447E-2"/>
          <c:w val="0.79470752253225208"/>
          <c:h val="0.56860563153861865"/>
        </c:manualLayout>
      </c:layout>
      <c:barChart>
        <c:barDir val="col"/>
        <c:grouping val="stacked"/>
        <c:varyColors val="0"/>
        <c:ser>
          <c:idx val="3"/>
          <c:order val="0"/>
          <c:tx>
            <c:strRef>
              <c:f>'Low Case'!$A$574</c:f>
              <c:strCache>
                <c:ptCount val="1"/>
                <c:pt idx="0">
                  <c:v>General &amp; Administration</c:v>
                </c:pt>
              </c:strCache>
            </c:strRef>
          </c:tx>
          <c:spPr>
            <a:solidFill>
              <a:srgbClr val="CC9900"/>
            </a:solidFill>
          </c:spPr>
          <c:invertIfNegative val="0"/>
          <c:cat>
            <c:numRef>
              <c:f>'Low Case'!$D$94:$AD$94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'Low Case'!$D$574:$AD$574</c:f>
              <c:numCache>
                <c:formatCode>#,##0</c:formatCode>
                <c:ptCount val="27"/>
                <c:pt idx="0">
                  <c:v>0</c:v>
                </c:pt>
                <c:pt idx="1">
                  <c:v>0</c:v>
                </c:pt>
                <c:pt idx="2">
                  <c:v>28.1724</c:v>
                </c:pt>
                <c:pt idx="3">
                  <c:v>28.1724</c:v>
                </c:pt>
                <c:pt idx="4">
                  <c:v>28.1724</c:v>
                </c:pt>
                <c:pt idx="5">
                  <c:v>28.1724</c:v>
                </c:pt>
                <c:pt idx="6">
                  <c:v>28.1724</c:v>
                </c:pt>
                <c:pt idx="7">
                  <c:v>28.1724</c:v>
                </c:pt>
                <c:pt idx="8">
                  <c:v>28.1724</c:v>
                </c:pt>
                <c:pt idx="9">
                  <c:v>28.1724</c:v>
                </c:pt>
                <c:pt idx="10">
                  <c:v>28.1724</c:v>
                </c:pt>
                <c:pt idx="11">
                  <c:v>28.1724</c:v>
                </c:pt>
                <c:pt idx="12">
                  <c:v>28.1724</c:v>
                </c:pt>
                <c:pt idx="13">
                  <c:v>28.1724</c:v>
                </c:pt>
                <c:pt idx="14">
                  <c:v>28.1724</c:v>
                </c:pt>
                <c:pt idx="15">
                  <c:v>28.1724</c:v>
                </c:pt>
                <c:pt idx="16">
                  <c:v>28.1724</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0-2B01-40BC-8408-C985799BB42B}"/>
            </c:ext>
          </c:extLst>
        </c:ser>
        <c:ser>
          <c:idx val="4"/>
          <c:order val="1"/>
          <c:tx>
            <c:strRef>
              <c:f>'Low Case'!$A$640</c:f>
              <c:strCache>
                <c:ptCount val="1"/>
                <c:pt idx="0">
                  <c:v>Product Logistics - copper &amp; moly</c:v>
                </c:pt>
              </c:strCache>
            </c:strRef>
          </c:tx>
          <c:spPr>
            <a:solidFill>
              <a:schemeClr val="accent6">
                <a:lumMod val="50000"/>
              </a:schemeClr>
            </a:solidFill>
          </c:spPr>
          <c:invertIfNegative val="0"/>
          <c:cat>
            <c:numRef>
              <c:f>'Low Case'!$D$94:$AD$94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'Low Case'!$D$640:$AD$640</c:f>
              <c:numCache>
                <c:formatCode>#,##0.0</c:formatCode>
                <c:ptCount val="27"/>
                <c:pt idx="0">
                  <c:v>0</c:v>
                </c:pt>
                <c:pt idx="1">
                  <c:v>0</c:v>
                </c:pt>
                <c:pt idx="2">
                  <c:v>5.2044789421992395</c:v>
                </c:pt>
                <c:pt idx="3">
                  <c:v>9.8712189195069602</c:v>
                </c:pt>
                <c:pt idx="4">
                  <c:v>10.698605487530791</c:v>
                </c:pt>
                <c:pt idx="5">
                  <c:v>10.779474083950575</c:v>
                </c:pt>
                <c:pt idx="6">
                  <c:v>11.3039929518863</c:v>
                </c:pt>
                <c:pt idx="7">
                  <c:v>10.179126559176936</c:v>
                </c:pt>
                <c:pt idx="8">
                  <c:v>10.1758325055934</c:v>
                </c:pt>
                <c:pt idx="9">
                  <c:v>10.292061415768011</c:v>
                </c:pt>
                <c:pt idx="10">
                  <c:v>10.370300661401743</c:v>
                </c:pt>
                <c:pt idx="11">
                  <c:v>10.449322299491811</c:v>
                </c:pt>
                <c:pt idx="12">
                  <c:v>10.64070715196846</c:v>
                </c:pt>
                <c:pt idx="13">
                  <c:v>10.057410140265899</c:v>
                </c:pt>
                <c:pt idx="14">
                  <c:v>10.051027901135019</c:v>
                </c:pt>
                <c:pt idx="15">
                  <c:v>10.127933879071101</c:v>
                </c:pt>
                <c:pt idx="16">
                  <c:v>13.149534565859582</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1-2B01-40BC-8408-C985799BB42B}"/>
            </c:ext>
          </c:extLst>
        </c:ser>
        <c:ser>
          <c:idx val="2"/>
          <c:order val="2"/>
          <c:tx>
            <c:strRef>
              <c:f>'Low Case'!$A$509</c:f>
              <c:strCache>
                <c:ptCount val="1"/>
                <c:pt idx="0">
                  <c:v>processing opex</c:v>
                </c:pt>
              </c:strCache>
            </c:strRef>
          </c:tx>
          <c:spPr>
            <a:solidFill>
              <a:srgbClr val="FFCC66"/>
            </a:solidFill>
          </c:spPr>
          <c:invertIfNegative val="0"/>
          <c:cat>
            <c:numRef>
              <c:f>'Low Case'!$D$94:$AD$94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'Low Case'!$D$509:$AD$509</c:f>
              <c:numCache>
                <c:formatCode>#,##0</c:formatCode>
                <c:ptCount val="27"/>
                <c:pt idx="0">
                  <c:v>0</c:v>
                </c:pt>
                <c:pt idx="1">
                  <c:v>0</c:v>
                </c:pt>
                <c:pt idx="2">
                  <c:v>71.665615384615393</c:v>
                </c:pt>
                <c:pt idx="3">
                  <c:v>108.598</c:v>
                </c:pt>
                <c:pt idx="4">
                  <c:v>108.598</c:v>
                </c:pt>
                <c:pt idx="5">
                  <c:v>108.598</c:v>
                </c:pt>
                <c:pt idx="6">
                  <c:v>113.15130769230768</c:v>
                </c:pt>
                <c:pt idx="7">
                  <c:v>104.0446923076923</c:v>
                </c:pt>
                <c:pt idx="8">
                  <c:v>108.598</c:v>
                </c:pt>
                <c:pt idx="9">
                  <c:v>108.598</c:v>
                </c:pt>
                <c:pt idx="10">
                  <c:v>108.598</c:v>
                </c:pt>
                <c:pt idx="11">
                  <c:v>108.598</c:v>
                </c:pt>
                <c:pt idx="12">
                  <c:v>108.598</c:v>
                </c:pt>
                <c:pt idx="13">
                  <c:v>108.598</c:v>
                </c:pt>
                <c:pt idx="14">
                  <c:v>108.598</c:v>
                </c:pt>
                <c:pt idx="15">
                  <c:v>108.598</c:v>
                </c:pt>
                <c:pt idx="16">
                  <c:v>119.22238461538461</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2-2B01-40BC-8408-C985799BB42B}"/>
            </c:ext>
          </c:extLst>
        </c:ser>
        <c:ser>
          <c:idx val="0"/>
          <c:order val="3"/>
          <c:tx>
            <c:strRef>
              <c:f>'Low Case'!$A$460</c:f>
              <c:strCache>
                <c:ptCount val="1"/>
                <c:pt idx="0">
                  <c:v>mining opex</c:v>
                </c:pt>
              </c:strCache>
            </c:strRef>
          </c:tx>
          <c:spPr>
            <a:solidFill>
              <a:srgbClr val="FFFF00"/>
            </a:solidFill>
            <a:ln>
              <a:noFill/>
            </a:ln>
          </c:spPr>
          <c:invertIfNegative val="0"/>
          <c:cat>
            <c:numRef>
              <c:f>'Low Case'!$D$94:$AD$94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'Low Case'!$D$460:$AD$460</c:f>
              <c:numCache>
                <c:formatCode>#,##0</c:formatCode>
                <c:ptCount val="27"/>
                <c:pt idx="0">
                  <c:v>0</c:v>
                </c:pt>
                <c:pt idx="1">
                  <c:v>234</c:v>
                </c:pt>
                <c:pt idx="2">
                  <c:v>259</c:v>
                </c:pt>
                <c:pt idx="3">
                  <c:v>257</c:v>
                </c:pt>
                <c:pt idx="4">
                  <c:v>407</c:v>
                </c:pt>
                <c:pt idx="5">
                  <c:v>407</c:v>
                </c:pt>
                <c:pt idx="6">
                  <c:v>503</c:v>
                </c:pt>
                <c:pt idx="7">
                  <c:v>481.85</c:v>
                </c:pt>
                <c:pt idx="8">
                  <c:v>483.4</c:v>
                </c:pt>
                <c:pt idx="9">
                  <c:v>486.2</c:v>
                </c:pt>
                <c:pt idx="10">
                  <c:v>489</c:v>
                </c:pt>
                <c:pt idx="11">
                  <c:v>491.79999999999995</c:v>
                </c:pt>
                <c:pt idx="12">
                  <c:v>472.49999999999994</c:v>
                </c:pt>
                <c:pt idx="13">
                  <c:v>323.09999999999991</c:v>
                </c:pt>
                <c:pt idx="14">
                  <c:v>326.69999999999987</c:v>
                </c:pt>
                <c:pt idx="15">
                  <c:v>263.5499999999999</c:v>
                </c:pt>
                <c:pt idx="16">
                  <c:v>41.399999999999991</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3-2B01-40BC-8408-C985799BB42B}"/>
            </c:ext>
          </c:extLst>
        </c:ser>
        <c:ser>
          <c:idx val="6"/>
          <c:order val="4"/>
          <c:tx>
            <c:strRef>
              <c:f>'Low Case'!$A$603</c:f>
              <c:strCache>
                <c:ptCount val="1"/>
                <c:pt idx="0">
                  <c:v>Exploration &amp; Geotechnical</c:v>
                </c:pt>
              </c:strCache>
            </c:strRef>
          </c:tx>
          <c:invertIfNegative val="0"/>
          <c:cat>
            <c:numRef>
              <c:f>'Low Case'!$D$94:$AD$94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'Low Case'!$D$603:$AD$603</c:f>
              <c:numCache>
                <c:formatCode>#,##0.0</c:formatCode>
                <c:ptCount val="27"/>
                <c:pt idx="0">
                  <c:v>3.8</c:v>
                </c:pt>
                <c:pt idx="1">
                  <c:v>3.8</c:v>
                </c:pt>
                <c:pt idx="2">
                  <c:v>3.8</c:v>
                </c:pt>
                <c:pt idx="3">
                  <c:v>3.8</c:v>
                </c:pt>
                <c:pt idx="4">
                  <c:v>3.8</c:v>
                </c:pt>
                <c:pt idx="5">
                  <c:v>3.8</c:v>
                </c:pt>
                <c:pt idx="6">
                  <c:v>3.8</c:v>
                </c:pt>
                <c:pt idx="7">
                  <c:v>3.8</c:v>
                </c:pt>
                <c:pt idx="8">
                  <c:v>3.8</c:v>
                </c:pt>
                <c:pt idx="9">
                  <c:v>3.8</c:v>
                </c:pt>
                <c:pt idx="10">
                  <c:v>3.8</c:v>
                </c:pt>
                <c:pt idx="11">
                  <c:v>3.8</c:v>
                </c:pt>
                <c:pt idx="12">
                  <c:v>3.8</c:v>
                </c:pt>
                <c:pt idx="13">
                  <c:v>3.8</c:v>
                </c:pt>
                <c:pt idx="14">
                  <c:v>3.8</c:v>
                </c:pt>
                <c:pt idx="15">
                  <c:v>0</c:v>
                </c:pt>
                <c:pt idx="16">
                  <c:v>0</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4-2B01-40BC-8408-C985799BB42B}"/>
            </c:ext>
          </c:extLst>
        </c:ser>
        <c:ser>
          <c:idx val="1"/>
          <c:order val="5"/>
          <c:tx>
            <c:strRef>
              <c:f>'Low Case'!$A$593</c:f>
              <c:strCache>
                <c:ptCount val="1"/>
                <c:pt idx="0">
                  <c:v>Rehabilitation &amp; Environmental and Closure</c:v>
                </c:pt>
              </c:strCache>
            </c:strRef>
          </c:tx>
          <c:spPr>
            <a:solidFill>
              <a:schemeClr val="accent3">
                <a:lumMod val="40000"/>
                <a:lumOff val="60000"/>
              </a:schemeClr>
            </a:solidFill>
          </c:spPr>
          <c:invertIfNegative val="0"/>
          <c:cat>
            <c:numRef>
              <c:f>'Low Case'!$D$94:$AD$94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'Low Case'!$D$593:$AD$593</c:f>
              <c:numCache>
                <c:formatCode>#,##0</c:formatCode>
                <c:ptCount val="27"/>
                <c:pt idx="0">
                  <c:v>0</c:v>
                </c:pt>
                <c:pt idx="1">
                  <c:v>12.95</c:v>
                </c:pt>
                <c:pt idx="2">
                  <c:v>17.771153846153844</c:v>
                </c:pt>
                <c:pt idx="3">
                  <c:v>20.299999999999997</c:v>
                </c:pt>
                <c:pt idx="4">
                  <c:v>29.049999999999997</c:v>
                </c:pt>
                <c:pt idx="5">
                  <c:v>29.049999999999997</c:v>
                </c:pt>
                <c:pt idx="6">
                  <c:v>39.948076923076918</c:v>
                </c:pt>
                <c:pt idx="7">
                  <c:v>39.151923076923076</c:v>
                </c:pt>
                <c:pt idx="8">
                  <c:v>39.549999999999997</c:v>
                </c:pt>
                <c:pt idx="9">
                  <c:v>39.549999999999997</c:v>
                </c:pt>
                <c:pt idx="10">
                  <c:v>39.549999999999997</c:v>
                </c:pt>
                <c:pt idx="11">
                  <c:v>39.549999999999997</c:v>
                </c:pt>
                <c:pt idx="12">
                  <c:v>39.549999999999997</c:v>
                </c:pt>
                <c:pt idx="13">
                  <c:v>30.799999999999997</c:v>
                </c:pt>
                <c:pt idx="14">
                  <c:v>30.799999999999997</c:v>
                </c:pt>
                <c:pt idx="15">
                  <c:v>25.549999999999997</c:v>
                </c:pt>
                <c:pt idx="16">
                  <c:v>408.97884615384618</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5-2B01-40BC-8408-C985799BB42B}"/>
            </c:ext>
          </c:extLst>
        </c:ser>
        <c:dLbls>
          <c:showLegendKey val="0"/>
          <c:showVal val="0"/>
          <c:showCatName val="0"/>
          <c:showSerName val="0"/>
          <c:showPercent val="0"/>
          <c:showBubbleSize val="0"/>
        </c:dLbls>
        <c:gapWidth val="0"/>
        <c:overlap val="100"/>
        <c:axId val="371398232"/>
        <c:axId val="371398624"/>
      </c:barChart>
      <c:catAx>
        <c:axId val="371398232"/>
        <c:scaling>
          <c:orientation val="minMax"/>
        </c:scaling>
        <c:delete val="0"/>
        <c:axPos val="b"/>
        <c:numFmt formatCode="0" sourceLinked="1"/>
        <c:majorTickMark val="out"/>
        <c:minorTickMark val="none"/>
        <c:tickLblPos val="nextTo"/>
        <c:txPr>
          <a:bodyPr/>
          <a:lstStyle/>
          <a:p>
            <a:pPr>
              <a:defRPr sz="1000" b="0"/>
            </a:pPr>
            <a:endParaRPr lang="en-US"/>
          </a:p>
        </c:txPr>
        <c:crossAx val="371398624"/>
        <c:crosses val="autoZero"/>
        <c:auto val="1"/>
        <c:lblAlgn val="ctr"/>
        <c:lblOffset val="100"/>
        <c:noMultiLvlLbl val="0"/>
      </c:catAx>
      <c:valAx>
        <c:axId val="371398624"/>
        <c:scaling>
          <c:orientation val="minMax"/>
        </c:scaling>
        <c:delete val="0"/>
        <c:axPos val="l"/>
        <c:majorGridlines/>
        <c:title>
          <c:tx>
            <c:rich>
              <a:bodyPr rot="-5400000" vert="horz"/>
              <a:lstStyle/>
              <a:p>
                <a:pPr>
                  <a:defRPr sz="1200" b="0"/>
                </a:pPr>
                <a:r>
                  <a:rPr lang="en-US" sz="1200" b="0"/>
                  <a:t>A$ millions Real</a:t>
                </a:r>
              </a:p>
            </c:rich>
          </c:tx>
          <c:layout>
            <c:manualLayout>
              <c:xMode val="edge"/>
              <c:yMode val="edge"/>
              <c:x val="1.238967672038538E-2"/>
              <c:y val="0.22830715681357838"/>
            </c:manualLayout>
          </c:layout>
          <c:overlay val="0"/>
        </c:title>
        <c:numFmt formatCode="#,##0" sourceLinked="0"/>
        <c:majorTickMark val="out"/>
        <c:minorTickMark val="none"/>
        <c:tickLblPos val="nextTo"/>
        <c:txPr>
          <a:bodyPr/>
          <a:lstStyle/>
          <a:p>
            <a:pPr>
              <a:defRPr sz="1000" b="0"/>
            </a:pPr>
            <a:endParaRPr lang="en-US"/>
          </a:p>
        </c:txPr>
        <c:crossAx val="371398232"/>
        <c:crosses val="autoZero"/>
        <c:crossBetween val="between"/>
      </c:valAx>
    </c:plotArea>
    <c:legend>
      <c:legendPos val="b"/>
      <c:layout>
        <c:manualLayout>
          <c:xMode val="edge"/>
          <c:yMode val="edge"/>
          <c:x val="0"/>
          <c:y val="0.73780879443511849"/>
          <c:w val="0.99812904616073328"/>
          <c:h val="0.2621912055648814"/>
        </c:manualLayout>
      </c:layout>
      <c:overlay val="0"/>
      <c:txPr>
        <a:bodyPr/>
        <a:lstStyle/>
        <a:p>
          <a:pPr>
            <a:defRPr sz="1000" b="0"/>
          </a:pPr>
          <a:endParaRPr lang="en-US"/>
        </a:p>
      </c:txPr>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Capex</a:t>
            </a:r>
          </a:p>
        </c:rich>
      </c:tx>
      <c:overlay val="1"/>
    </c:title>
    <c:autoTitleDeleted val="0"/>
    <c:plotArea>
      <c:layout>
        <c:manualLayout>
          <c:layoutTarget val="inner"/>
          <c:xMode val="edge"/>
          <c:yMode val="edge"/>
          <c:x val="0.15254090904914597"/>
          <c:y val="0.16988953377835198"/>
          <c:w val="0.8020285008131276"/>
          <c:h val="0.52768813734348818"/>
        </c:manualLayout>
      </c:layout>
      <c:barChart>
        <c:barDir val="col"/>
        <c:grouping val="stacked"/>
        <c:varyColors val="0"/>
        <c:ser>
          <c:idx val="0"/>
          <c:order val="0"/>
          <c:tx>
            <c:strRef>
              <c:f>'Low Case'!$A$346</c:f>
              <c:strCache>
                <c:ptCount val="1"/>
                <c:pt idx="0">
                  <c:v>Initial capex - Low Case</c:v>
                </c:pt>
              </c:strCache>
            </c:strRef>
          </c:tx>
          <c:spPr>
            <a:solidFill>
              <a:srgbClr val="66CCFF"/>
            </a:solidFill>
            <a:ln>
              <a:noFill/>
            </a:ln>
          </c:spPr>
          <c:invertIfNegative val="0"/>
          <c:cat>
            <c:numRef>
              <c:f>'Low Case'!$D$94:$N$94</c:f>
              <c:numCache>
                <c:formatCode>0</c:formatCode>
                <c:ptCount val="11"/>
                <c:pt idx="0">
                  <c:v>2027</c:v>
                </c:pt>
                <c:pt idx="1">
                  <c:v>2028</c:v>
                </c:pt>
                <c:pt idx="2">
                  <c:v>2029</c:v>
                </c:pt>
                <c:pt idx="3">
                  <c:v>2030</c:v>
                </c:pt>
                <c:pt idx="4">
                  <c:v>2031</c:v>
                </c:pt>
                <c:pt idx="5">
                  <c:v>2032</c:v>
                </c:pt>
                <c:pt idx="6">
                  <c:v>2033</c:v>
                </c:pt>
                <c:pt idx="7">
                  <c:v>2034</c:v>
                </c:pt>
                <c:pt idx="8">
                  <c:v>2035</c:v>
                </c:pt>
                <c:pt idx="9">
                  <c:v>2036</c:v>
                </c:pt>
                <c:pt idx="10">
                  <c:v>2037</c:v>
                </c:pt>
              </c:numCache>
            </c:numRef>
          </c:cat>
          <c:val>
            <c:numRef>
              <c:f>'Low Case'!$D$346:$N$346</c:f>
              <c:numCache>
                <c:formatCode>#,##0</c:formatCode>
                <c:ptCount val="11"/>
                <c:pt idx="0">
                  <c:v>425</c:v>
                </c:pt>
                <c:pt idx="1">
                  <c:v>905</c:v>
                </c:pt>
                <c:pt idx="2">
                  <c:v>67</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5465-48F4-A1CC-772CB092FB18}"/>
            </c:ext>
          </c:extLst>
        </c:ser>
        <c:ser>
          <c:idx val="1"/>
          <c:order val="1"/>
          <c:tx>
            <c:strRef>
              <c:f>'Low Case'!$A$354</c:f>
              <c:strCache>
                <c:ptCount val="1"/>
                <c:pt idx="0">
                  <c:v>ongoing capex</c:v>
                </c:pt>
              </c:strCache>
            </c:strRef>
          </c:tx>
          <c:spPr>
            <a:solidFill>
              <a:srgbClr val="0070C0"/>
            </a:solidFill>
          </c:spPr>
          <c:invertIfNegative val="0"/>
          <c:cat>
            <c:numRef>
              <c:f>'Low Case'!$D$94:$N$94</c:f>
              <c:numCache>
                <c:formatCode>0</c:formatCode>
                <c:ptCount val="11"/>
                <c:pt idx="0">
                  <c:v>2027</c:v>
                </c:pt>
                <c:pt idx="1">
                  <c:v>2028</c:v>
                </c:pt>
                <c:pt idx="2">
                  <c:v>2029</c:v>
                </c:pt>
                <c:pt idx="3">
                  <c:v>2030</c:v>
                </c:pt>
                <c:pt idx="4">
                  <c:v>2031</c:v>
                </c:pt>
                <c:pt idx="5">
                  <c:v>2032</c:v>
                </c:pt>
                <c:pt idx="6">
                  <c:v>2033</c:v>
                </c:pt>
                <c:pt idx="7">
                  <c:v>2034</c:v>
                </c:pt>
                <c:pt idx="8">
                  <c:v>2035</c:v>
                </c:pt>
                <c:pt idx="9">
                  <c:v>2036</c:v>
                </c:pt>
                <c:pt idx="10">
                  <c:v>2037</c:v>
                </c:pt>
              </c:numCache>
            </c:numRef>
          </c:cat>
          <c:val>
            <c:numRef>
              <c:f>'Low Case'!$D$354:$N$354</c:f>
              <c:numCache>
                <c:formatCode>#,##0</c:formatCode>
                <c:ptCount val="11"/>
                <c:pt idx="0">
                  <c:v>0</c:v>
                </c:pt>
                <c:pt idx="1">
                  <c:v>0</c:v>
                </c:pt>
                <c:pt idx="2">
                  <c:v>55.88</c:v>
                </c:pt>
                <c:pt idx="3">
                  <c:v>55.88</c:v>
                </c:pt>
                <c:pt idx="4">
                  <c:v>55.88</c:v>
                </c:pt>
                <c:pt idx="5">
                  <c:v>80.88</c:v>
                </c:pt>
                <c:pt idx="6">
                  <c:v>55.88</c:v>
                </c:pt>
                <c:pt idx="7">
                  <c:v>55.88</c:v>
                </c:pt>
                <c:pt idx="8">
                  <c:v>55.88</c:v>
                </c:pt>
                <c:pt idx="9">
                  <c:v>75.88</c:v>
                </c:pt>
                <c:pt idx="10">
                  <c:v>55.88</c:v>
                </c:pt>
              </c:numCache>
            </c:numRef>
          </c:val>
          <c:extLst>
            <c:ext xmlns:c16="http://schemas.microsoft.com/office/drawing/2014/chart" uri="{C3380CC4-5D6E-409C-BE32-E72D297353CC}">
              <c16:uniqueId val="{00000001-5465-48F4-A1CC-772CB092FB18}"/>
            </c:ext>
          </c:extLst>
        </c:ser>
        <c:dLbls>
          <c:showLegendKey val="0"/>
          <c:showVal val="0"/>
          <c:showCatName val="0"/>
          <c:showSerName val="0"/>
          <c:showPercent val="0"/>
          <c:showBubbleSize val="0"/>
        </c:dLbls>
        <c:gapWidth val="0"/>
        <c:overlap val="100"/>
        <c:axId val="371401760"/>
        <c:axId val="371402152"/>
      </c:barChart>
      <c:catAx>
        <c:axId val="371401760"/>
        <c:scaling>
          <c:orientation val="minMax"/>
        </c:scaling>
        <c:delete val="0"/>
        <c:axPos val="b"/>
        <c:numFmt formatCode="0" sourceLinked="1"/>
        <c:majorTickMark val="out"/>
        <c:minorTickMark val="none"/>
        <c:tickLblPos val="nextTo"/>
        <c:txPr>
          <a:bodyPr/>
          <a:lstStyle/>
          <a:p>
            <a:pPr>
              <a:defRPr sz="1000" b="0"/>
            </a:pPr>
            <a:endParaRPr lang="en-US"/>
          </a:p>
        </c:txPr>
        <c:crossAx val="371402152"/>
        <c:crosses val="autoZero"/>
        <c:auto val="1"/>
        <c:lblAlgn val="ctr"/>
        <c:lblOffset val="100"/>
        <c:noMultiLvlLbl val="0"/>
      </c:catAx>
      <c:valAx>
        <c:axId val="371402152"/>
        <c:scaling>
          <c:orientation val="minMax"/>
        </c:scaling>
        <c:delete val="0"/>
        <c:axPos val="l"/>
        <c:majorGridlines/>
        <c:title>
          <c:tx>
            <c:rich>
              <a:bodyPr rot="-5400000" vert="horz"/>
              <a:lstStyle/>
              <a:p>
                <a:pPr>
                  <a:defRPr sz="1200" b="0"/>
                </a:pPr>
                <a:r>
                  <a:rPr lang="en-US" sz="1200" b="0"/>
                  <a:t>A$ million</a:t>
                </a:r>
              </a:p>
            </c:rich>
          </c:tx>
          <c:layout>
            <c:manualLayout>
              <c:xMode val="edge"/>
              <c:yMode val="edge"/>
              <c:x val="7.8328924202730656E-3"/>
              <c:y val="0.19222623142763953"/>
            </c:manualLayout>
          </c:layout>
          <c:overlay val="0"/>
        </c:title>
        <c:numFmt formatCode="#,##0" sourceLinked="1"/>
        <c:majorTickMark val="out"/>
        <c:minorTickMark val="none"/>
        <c:tickLblPos val="nextTo"/>
        <c:txPr>
          <a:bodyPr/>
          <a:lstStyle/>
          <a:p>
            <a:pPr>
              <a:defRPr sz="1000" b="0"/>
            </a:pPr>
            <a:endParaRPr lang="en-US"/>
          </a:p>
        </c:txPr>
        <c:crossAx val="371401760"/>
        <c:crosses val="autoZero"/>
        <c:crossBetween val="between"/>
      </c:valAx>
    </c:plotArea>
    <c:legend>
      <c:legendPos val="b"/>
      <c:layout>
        <c:manualLayout>
          <c:xMode val="edge"/>
          <c:yMode val="edge"/>
          <c:x val="1.0720428857831884E-2"/>
          <c:y val="0.87993469958010351"/>
          <c:w val="0.97113868146555493"/>
          <c:h val="0.12006530041989689"/>
        </c:manualLayout>
      </c:layout>
      <c:overlay val="0"/>
      <c:txPr>
        <a:bodyPr/>
        <a:lstStyle/>
        <a:p>
          <a:pPr>
            <a:defRPr sz="1000" b="0"/>
          </a:pPr>
          <a:endParaRPr lang="en-US"/>
        </a:p>
      </c:txPr>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Taxes</a:t>
            </a:r>
          </a:p>
        </c:rich>
      </c:tx>
      <c:layout>
        <c:manualLayout>
          <c:xMode val="edge"/>
          <c:yMode val="edge"/>
          <c:x val="0.17684450291593851"/>
          <c:y val="6.4009256907402695E-2"/>
        </c:manualLayout>
      </c:layout>
      <c:overlay val="1"/>
    </c:title>
    <c:autoTitleDeleted val="0"/>
    <c:plotArea>
      <c:layout>
        <c:manualLayout>
          <c:layoutTarget val="inner"/>
          <c:xMode val="edge"/>
          <c:yMode val="edge"/>
          <c:x val="0.15936474354257119"/>
          <c:y val="4.8353794485366745E-2"/>
          <c:w val="0.75040069173596291"/>
          <c:h val="0.49929895859791718"/>
        </c:manualLayout>
      </c:layout>
      <c:barChart>
        <c:barDir val="col"/>
        <c:grouping val="stacked"/>
        <c:varyColors val="0"/>
        <c:ser>
          <c:idx val="0"/>
          <c:order val="0"/>
          <c:tx>
            <c:strRef>
              <c:f>'Low Case'!$A$679</c:f>
              <c:strCache>
                <c:ptCount val="1"/>
                <c:pt idx="0">
                  <c:v>Royalty - copper</c:v>
                </c:pt>
              </c:strCache>
            </c:strRef>
          </c:tx>
          <c:spPr>
            <a:solidFill>
              <a:srgbClr val="FF9900"/>
            </a:solidFill>
            <a:ln>
              <a:noFill/>
            </a:ln>
          </c:spPr>
          <c:invertIfNegative val="0"/>
          <c:cat>
            <c:numRef>
              <c:f>'Low Case'!$D$764:$AD$764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'Low Case'!$D$679:$AD$679</c:f>
              <c:numCache>
                <c:formatCode>#,##0</c:formatCode>
                <c:ptCount val="27"/>
                <c:pt idx="0">
                  <c:v>0</c:v>
                </c:pt>
                <c:pt idx="1">
                  <c:v>0</c:v>
                </c:pt>
                <c:pt idx="2">
                  <c:v>23.250588352603518</c:v>
                </c:pt>
                <c:pt idx="3">
                  <c:v>43.682896447662799</c:v>
                </c:pt>
                <c:pt idx="4">
                  <c:v>46.935563537234586</c:v>
                </c:pt>
                <c:pt idx="5">
                  <c:v>46.929436803121</c:v>
                </c:pt>
                <c:pt idx="6">
                  <c:v>48.842024930813025</c:v>
                </c:pt>
                <c:pt idx="7">
                  <c:v>44.121015468063554</c:v>
                </c:pt>
                <c:pt idx="8">
                  <c:v>44.226380848313646</c:v>
                </c:pt>
                <c:pt idx="9">
                  <c:v>44.467723449549553</c:v>
                </c:pt>
                <c:pt idx="10">
                  <c:v>44.461618697389547</c:v>
                </c:pt>
                <c:pt idx="11">
                  <c:v>44.455452897707957</c:v>
                </c:pt>
                <c:pt idx="12">
                  <c:v>44.623516700519261</c:v>
                </c:pt>
                <c:pt idx="13">
                  <c:v>42.969099599203147</c:v>
                </c:pt>
                <c:pt idx="14">
                  <c:v>42.610422129777582</c:v>
                </c:pt>
                <c:pt idx="15">
                  <c:v>42.604269651542701</c:v>
                </c:pt>
                <c:pt idx="16">
                  <c:v>54.885956316369345</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0-8550-45C9-A9F9-740B4CB3CDCD}"/>
            </c:ext>
          </c:extLst>
        </c:ser>
        <c:ser>
          <c:idx val="2"/>
          <c:order val="1"/>
          <c:tx>
            <c:strRef>
              <c:f>'Low Case'!$A$684</c:f>
              <c:strCache>
                <c:ptCount val="1"/>
                <c:pt idx="0">
                  <c:v>Royalty - moly</c:v>
                </c:pt>
              </c:strCache>
            </c:strRef>
          </c:tx>
          <c:spPr>
            <a:solidFill>
              <a:schemeClr val="accent4">
                <a:lumMod val="75000"/>
              </a:schemeClr>
            </a:solidFill>
          </c:spPr>
          <c:invertIfNegative val="0"/>
          <c:val>
            <c:numRef>
              <c:f>'Low Case'!$D$684:$AD$684</c:f>
              <c:numCache>
                <c:formatCode>#,##0.0</c:formatCode>
                <c:ptCount val="27"/>
                <c:pt idx="0">
                  <c:v>0</c:v>
                </c:pt>
                <c:pt idx="1">
                  <c:v>0</c:v>
                </c:pt>
                <c:pt idx="2">
                  <c:v>5.3108031301775149</c:v>
                </c:pt>
                <c:pt idx="3">
                  <c:v>10.460820477514794</c:v>
                </c:pt>
                <c:pt idx="4">
                  <c:v>11.527853400000001</c:v>
                </c:pt>
                <c:pt idx="5">
                  <c:v>11.527853400000001</c:v>
                </c:pt>
                <c:pt idx="6">
                  <c:v>11.966360080473372</c:v>
                </c:pt>
                <c:pt idx="7">
                  <c:v>8.0051830668639052</c:v>
                </c:pt>
                <c:pt idx="8">
                  <c:v>5.3643983911242614</c:v>
                </c:pt>
                <c:pt idx="9">
                  <c:v>4.9405086000000011</c:v>
                </c:pt>
                <c:pt idx="10">
                  <c:v>4.9405086000000011</c:v>
                </c:pt>
                <c:pt idx="11">
                  <c:v>4.9405086000000011</c:v>
                </c:pt>
                <c:pt idx="12">
                  <c:v>6.650684653846155</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1-8550-45C9-A9F9-740B4CB3CDCD}"/>
            </c:ext>
          </c:extLst>
        </c:ser>
        <c:ser>
          <c:idx val="3"/>
          <c:order val="2"/>
          <c:tx>
            <c:strRef>
              <c:f>'Low Case'!$A$689</c:f>
              <c:strCache>
                <c:ptCount val="1"/>
                <c:pt idx="0">
                  <c:v>Royalty - gold</c:v>
                </c:pt>
              </c:strCache>
            </c:strRef>
          </c:tx>
          <c:spPr>
            <a:solidFill>
              <a:srgbClr val="FFFF00"/>
            </a:solidFill>
          </c:spPr>
          <c:invertIfNegative val="0"/>
          <c:val>
            <c:numRef>
              <c:f>'Low Case'!$D$689:$AD$689</c:f>
              <c:numCache>
                <c:formatCode>#,##0.0</c:formatCode>
                <c:ptCount val="27"/>
                <c:pt idx="0">
                  <c:v>0</c:v>
                </c:pt>
                <c:pt idx="1">
                  <c:v>0</c:v>
                </c:pt>
                <c:pt idx="2">
                  <c:v>1.7098043841207025</c:v>
                </c:pt>
                <c:pt idx="3">
                  <c:v>3.2127687670046998</c:v>
                </c:pt>
                <c:pt idx="4">
                  <c:v>3.4524405144694534</c:v>
                </c:pt>
                <c:pt idx="5">
                  <c:v>3.4524405144694534</c:v>
                </c:pt>
                <c:pt idx="6">
                  <c:v>3.593617023250061</c:v>
                </c:pt>
                <c:pt idx="7">
                  <c:v>3.2207731889671063</c:v>
                </c:pt>
                <c:pt idx="8">
                  <c:v>3.215252941410657</c:v>
                </c:pt>
                <c:pt idx="9">
                  <c:v>3.2332379421221868</c:v>
                </c:pt>
                <c:pt idx="10">
                  <c:v>3.2332379421221868</c:v>
                </c:pt>
                <c:pt idx="11">
                  <c:v>3.2332379421221868</c:v>
                </c:pt>
                <c:pt idx="12">
                  <c:v>3.2495508991989754</c:v>
                </c:pt>
                <c:pt idx="13">
                  <c:v>3.0942258966114276</c:v>
                </c:pt>
                <c:pt idx="14">
                  <c:v>3.0688360128617367</c:v>
                </c:pt>
                <c:pt idx="15">
                  <c:v>3.0688360128617367</c:v>
                </c:pt>
                <c:pt idx="16">
                  <c:v>3.9540771704180062</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2-8550-45C9-A9F9-740B4CB3CDCD}"/>
            </c:ext>
          </c:extLst>
        </c:ser>
        <c:ser>
          <c:idx val="4"/>
          <c:order val="3"/>
          <c:tx>
            <c:strRef>
              <c:f>'Low Case'!$A$694</c:f>
              <c:strCache>
                <c:ptCount val="1"/>
                <c:pt idx="0">
                  <c:v>Royalty - silver</c:v>
                </c:pt>
              </c:strCache>
            </c:strRef>
          </c:tx>
          <c:spPr>
            <a:solidFill>
              <a:schemeClr val="bg1">
                <a:lumMod val="85000"/>
              </a:schemeClr>
            </a:solidFill>
          </c:spPr>
          <c:invertIfNegative val="0"/>
          <c:val>
            <c:numRef>
              <c:f>'Low Case'!$D$694:$AD$694</c:f>
              <c:numCache>
                <c:formatCode>#,##0.0</c:formatCode>
                <c:ptCount val="27"/>
                <c:pt idx="0">
                  <c:v>0</c:v>
                </c:pt>
                <c:pt idx="1">
                  <c:v>0</c:v>
                </c:pt>
                <c:pt idx="2">
                  <c:v>6.6178640716515788E-2</c:v>
                </c:pt>
                <c:pt idx="3">
                  <c:v>0.12435145909757944</c:v>
                </c:pt>
                <c:pt idx="4">
                  <c:v>0.13362804688310342</c:v>
                </c:pt>
                <c:pt idx="5">
                  <c:v>0.13362804688310342</c:v>
                </c:pt>
                <c:pt idx="6">
                  <c:v>0.13909233831841195</c:v>
                </c:pt>
                <c:pt idx="7">
                  <c:v>1.387404700078897E-2</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3-8550-45C9-A9F9-740B4CB3CDCD}"/>
            </c:ext>
          </c:extLst>
        </c:ser>
        <c:ser>
          <c:idx val="1"/>
          <c:order val="4"/>
          <c:tx>
            <c:strRef>
              <c:f>'Low Case'!$A$735</c:f>
              <c:strCache>
                <c:ptCount val="1"/>
                <c:pt idx="0">
                  <c:v>Income Tax - National</c:v>
                </c:pt>
              </c:strCache>
            </c:strRef>
          </c:tx>
          <c:spPr>
            <a:solidFill>
              <a:srgbClr val="FF0000"/>
            </a:solidFill>
          </c:spPr>
          <c:invertIfNegative val="0"/>
          <c:cat>
            <c:numRef>
              <c:f>'Low Case'!$D$764:$AD$764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'Low Case'!$D$735:$AD$735</c:f>
              <c:numCache>
                <c:formatCode>#,##0</c:formatCode>
                <c:ptCount val="2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4-8550-45C9-A9F9-740B4CB3CDCD}"/>
            </c:ext>
          </c:extLst>
        </c:ser>
        <c:dLbls>
          <c:showLegendKey val="0"/>
          <c:showVal val="0"/>
          <c:showCatName val="0"/>
          <c:showSerName val="0"/>
          <c:showPercent val="0"/>
          <c:showBubbleSize val="0"/>
        </c:dLbls>
        <c:gapWidth val="0"/>
        <c:overlap val="100"/>
        <c:axId val="371402936"/>
        <c:axId val="371399016"/>
      </c:barChart>
      <c:catAx>
        <c:axId val="371402936"/>
        <c:scaling>
          <c:orientation val="minMax"/>
        </c:scaling>
        <c:delete val="0"/>
        <c:axPos val="b"/>
        <c:numFmt formatCode="0" sourceLinked="1"/>
        <c:majorTickMark val="out"/>
        <c:minorTickMark val="none"/>
        <c:tickLblPos val="nextTo"/>
        <c:txPr>
          <a:bodyPr/>
          <a:lstStyle/>
          <a:p>
            <a:pPr>
              <a:defRPr sz="1000" b="0"/>
            </a:pPr>
            <a:endParaRPr lang="en-US"/>
          </a:p>
        </c:txPr>
        <c:crossAx val="371399016"/>
        <c:crosses val="autoZero"/>
        <c:auto val="1"/>
        <c:lblAlgn val="ctr"/>
        <c:lblOffset val="100"/>
        <c:noMultiLvlLbl val="0"/>
      </c:catAx>
      <c:valAx>
        <c:axId val="371399016"/>
        <c:scaling>
          <c:orientation val="minMax"/>
        </c:scaling>
        <c:delete val="0"/>
        <c:axPos val="l"/>
        <c:majorGridlines/>
        <c:title>
          <c:tx>
            <c:rich>
              <a:bodyPr rot="-5400000" vert="horz"/>
              <a:lstStyle/>
              <a:p>
                <a:pPr>
                  <a:defRPr sz="1200" b="0"/>
                </a:pPr>
                <a:r>
                  <a:rPr lang="en-US" sz="1200" b="0"/>
                  <a:t>A$ millions</a:t>
                </a:r>
              </a:p>
            </c:rich>
          </c:tx>
          <c:layout>
            <c:manualLayout>
              <c:xMode val="edge"/>
              <c:yMode val="edge"/>
              <c:x val="1.2398447273530061E-2"/>
              <c:y val="0.16465181629248016"/>
            </c:manualLayout>
          </c:layout>
          <c:overlay val="0"/>
        </c:title>
        <c:numFmt formatCode="#,##0" sourceLinked="1"/>
        <c:majorTickMark val="out"/>
        <c:minorTickMark val="none"/>
        <c:tickLblPos val="nextTo"/>
        <c:txPr>
          <a:bodyPr/>
          <a:lstStyle/>
          <a:p>
            <a:pPr>
              <a:defRPr sz="1000" b="0"/>
            </a:pPr>
            <a:endParaRPr lang="en-US"/>
          </a:p>
        </c:txPr>
        <c:crossAx val="371402936"/>
        <c:crosses val="autoZero"/>
        <c:crossBetween val="between"/>
      </c:valAx>
    </c:plotArea>
    <c:legend>
      <c:legendPos val="b"/>
      <c:layout>
        <c:manualLayout>
          <c:xMode val="edge"/>
          <c:yMode val="edge"/>
          <c:x val="2.7008332187902939E-2"/>
          <c:y val="0.72157367425845964"/>
          <c:w val="0.93731471845321079"/>
          <c:h val="0.27842632574154036"/>
        </c:manualLayout>
      </c:layout>
      <c:overlay val="0"/>
      <c:txPr>
        <a:bodyPr/>
        <a:lstStyle/>
        <a:p>
          <a:pPr>
            <a:defRPr sz="1000" b="0"/>
          </a:pPr>
          <a:endParaRPr lang="en-US"/>
        </a:p>
      </c:txPr>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600" b="1" i="0" u="none" strike="noStrike" kern="1200" baseline="0">
                <a:solidFill>
                  <a:sysClr val="windowText" lastClr="000000"/>
                </a:solidFill>
                <a:latin typeface="+mn-lt"/>
                <a:ea typeface="+mn-ea"/>
                <a:cs typeface="+mn-cs"/>
              </a:defRPr>
            </a:pPr>
            <a:r>
              <a:rPr lang="en-US" sz="1600" b="1" i="0" u="none" strike="noStrike" kern="1200" baseline="0">
                <a:solidFill>
                  <a:sysClr val="windowText" lastClr="000000"/>
                </a:solidFill>
                <a:latin typeface="+mn-lt"/>
                <a:ea typeface="+mn-ea"/>
                <a:cs typeface="+mn-cs"/>
              </a:rPr>
              <a:t>Processing</a:t>
            </a:r>
          </a:p>
        </c:rich>
      </c:tx>
      <c:layout>
        <c:manualLayout>
          <c:xMode val="edge"/>
          <c:yMode val="edge"/>
          <c:x val="0.23736208441087681"/>
          <c:y val="2.0935408906038341E-2"/>
        </c:manualLayout>
      </c:layout>
      <c:overlay val="1"/>
    </c:title>
    <c:autoTitleDeleted val="0"/>
    <c:plotArea>
      <c:layout>
        <c:manualLayout>
          <c:layoutTarget val="inner"/>
          <c:xMode val="edge"/>
          <c:yMode val="edge"/>
          <c:x val="0.1628365632422254"/>
          <c:y val="9.7587669453689477E-2"/>
          <c:w val="0.70095679006338318"/>
          <c:h val="0.48627627416291447"/>
        </c:manualLayout>
      </c:layout>
      <c:barChart>
        <c:barDir val="col"/>
        <c:grouping val="clustered"/>
        <c:varyColors val="0"/>
        <c:ser>
          <c:idx val="0"/>
          <c:order val="0"/>
          <c:tx>
            <c:strRef>
              <c:f>'Low Case'!$A$154</c:f>
              <c:strCache>
                <c:ptCount val="1"/>
                <c:pt idx="0">
                  <c:v>ore feed to processing - aggregate</c:v>
                </c:pt>
              </c:strCache>
            </c:strRef>
          </c:tx>
          <c:spPr>
            <a:solidFill>
              <a:schemeClr val="accent3">
                <a:lumMod val="40000"/>
                <a:lumOff val="60000"/>
              </a:schemeClr>
            </a:solidFill>
            <a:ln>
              <a:noFill/>
            </a:ln>
          </c:spPr>
          <c:invertIfNegative val="0"/>
          <c:cat>
            <c:numRef>
              <c:f>'Low Case'!$D$764:$AD$764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'Low Case'!$D$154:$AD$154</c:f>
              <c:numCache>
                <c:formatCode>#,##0</c:formatCode>
                <c:ptCount val="27"/>
                <c:pt idx="2" formatCode="#,##0.0">
                  <c:v>4.1923076923076925</c:v>
                </c:pt>
                <c:pt idx="3" formatCode="#,##0.0">
                  <c:v>7</c:v>
                </c:pt>
                <c:pt idx="4" formatCode="#,##0.0">
                  <c:v>7</c:v>
                </c:pt>
                <c:pt idx="5" formatCode="#,##0.0">
                  <c:v>7</c:v>
                </c:pt>
                <c:pt idx="6" formatCode="#,##0.0">
                  <c:v>7.3461538461538458</c:v>
                </c:pt>
                <c:pt idx="7" formatCode="#,##0.0">
                  <c:v>6.6538461538461542</c:v>
                </c:pt>
                <c:pt idx="8" formatCode="#,##0.0">
                  <c:v>7</c:v>
                </c:pt>
                <c:pt idx="9" formatCode="#,##0.0">
                  <c:v>7</c:v>
                </c:pt>
                <c:pt idx="10" formatCode="#,##0.0">
                  <c:v>7</c:v>
                </c:pt>
                <c:pt idx="11" formatCode="#,##0.0">
                  <c:v>7</c:v>
                </c:pt>
                <c:pt idx="12" formatCode="#,##0.0">
                  <c:v>7</c:v>
                </c:pt>
                <c:pt idx="13" formatCode="#,##0.0">
                  <c:v>7</c:v>
                </c:pt>
                <c:pt idx="14" formatCode="#,##0.0">
                  <c:v>7</c:v>
                </c:pt>
                <c:pt idx="15" formatCode="#,##0.0">
                  <c:v>7</c:v>
                </c:pt>
                <c:pt idx="16" formatCode="#,##0.0">
                  <c:v>7.8076923076923075</c:v>
                </c:pt>
                <c:pt idx="17" formatCode="#,##0.0">
                  <c:v>0</c:v>
                </c:pt>
                <c:pt idx="18" formatCode="#,##0.0">
                  <c:v>0</c:v>
                </c:pt>
                <c:pt idx="19" formatCode="#,##0.0">
                  <c:v>0</c:v>
                </c:pt>
                <c:pt idx="20" formatCode="#,##0.0">
                  <c:v>0</c:v>
                </c:pt>
                <c:pt idx="21" formatCode="#,##0.0">
                  <c:v>0</c:v>
                </c:pt>
                <c:pt idx="22" formatCode="#,##0.0">
                  <c:v>0</c:v>
                </c:pt>
                <c:pt idx="23" formatCode="#,##0.0">
                  <c:v>0</c:v>
                </c:pt>
                <c:pt idx="24" formatCode="#,##0.0">
                  <c:v>0</c:v>
                </c:pt>
                <c:pt idx="25" formatCode="#,##0.0">
                  <c:v>0</c:v>
                </c:pt>
                <c:pt idx="26" formatCode="#,##0.0">
                  <c:v>0</c:v>
                </c:pt>
              </c:numCache>
            </c:numRef>
          </c:val>
          <c:extLst>
            <c:ext xmlns:c16="http://schemas.microsoft.com/office/drawing/2014/chart" uri="{C3380CC4-5D6E-409C-BE32-E72D297353CC}">
              <c16:uniqueId val="{00000000-116E-4F3A-BB8F-9A95C6EEC6F0}"/>
            </c:ext>
          </c:extLst>
        </c:ser>
        <c:dLbls>
          <c:showLegendKey val="0"/>
          <c:showVal val="0"/>
          <c:showCatName val="0"/>
          <c:showSerName val="0"/>
          <c:showPercent val="0"/>
          <c:showBubbleSize val="0"/>
        </c:dLbls>
        <c:gapWidth val="0"/>
        <c:axId val="314920640"/>
        <c:axId val="314921816"/>
      </c:barChart>
      <c:lineChart>
        <c:grouping val="standard"/>
        <c:varyColors val="0"/>
        <c:ser>
          <c:idx val="3"/>
          <c:order val="1"/>
          <c:tx>
            <c:strRef>
              <c:f>'Low Case'!$A$162</c:f>
              <c:strCache>
                <c:ptCount val="1"/>
                <c:pt idx="0">
                  <c:v>Recovery - copper</c:v>
                </c:pt>
              </c:strCache>
            </c:strRef>
          </c:tx>
          <c:spPr>
            <a:ln w="38100">
              <a:solidFill>
                <a:srgbClr val="FFC000"/>
              </a:solidFill>
            </a:ln>
          </c:spPr>
          <c:marker>
            <c:symbol val="none"/>
          </c:marker>
          <c:cat>
            <c:numRef>
              <c:f>'Low Case'!$D$94:$AD$94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'Low Case'!$D$162:$AD$162</c:f>
              <c:numCache>
                <c:formatCode>0.0%</c:formatCode>
                <c:ptCount val="27"/>
                <c:pt idx="0">
                  <c:v>0.84</c:v>
                </c:pt>
                <c:pt idx="1">
                  <c:v>0.84</c:v>
                </c:pt>
                <c:pt idx="2">
                  <c:v>0.84</c:v>
                </c:pt>
                <c:pt idx="3">
                  <c:v>0.84</c:v>
                </c:pt>
                <c:pt idx="4">
                  <c:v>0.84</c:v>
                </c:pt>
                <c:pt idx="5">
                  <c:v>0.84</c:v>
                </c:pt>
                <c:pt idx="6">
                  <c:v>0.84</c:v>
                </c:pt>
                <c:pt idx="7">
                  <c:v>0.84</c:v>
                </c:pt>
                <c:pt idx="8">
                  <c:v>0.84</c:v>
                </c:pt>
                <c:pt idx="9">
                  <c:v>0.84</c:v>
                </c:pt>
                <c:pt idx="10">
                  <c:v>0.84</c:v>
                </c:pt>
                <c:pt idx="11">
                  <c:v>0.84</c:v>
                </c:pt>
                <c:pt idx="12">
                  <c:v>0.84</c:v>
                </c:pt>
                <c:pt idx="13">
                  <c:v>0.84</c:v>
                </c:pt>
                <c:pt idx="14">
                  <c:v>0.84</c:v>
                </c:pt>
                <c:pt idx="15">
                  <c:v>0.84</c:v>
                </c:pt>
                <c:pt idx="16">
                  <c:v>0.84</c:v>
                </c:pt>
                <c:pt idx="17">
                  <c:v>0.84</c:v>
                </c:pt>
                <c:pt idx="18">
                  <c:v>0.84</c:v>
                </c:pt>
                <c:pt idx="19">
                  <c:v>0.84</c:v>
                </c:pt>
                <c:pt idx="20">
                  <c:v>0.84</c:v>
                </c:pt>
                <c:pt idx="21">
                  <c:v>0.84</c:v>
                </c:pt>
                <c:pt idx="22">
                  <c:v>0.84</c:v>
                </c:pt>
                <c:pt idx="23">
                  <c:v>0.84</c:v>
                </c:pt>
                <c:pt idx="24">
                  <c:v>0.84</c:v>
                </c:pt>
                <c:pt idx="25">
                  <c:v>0.84</c:v>
                </c:pt>
                <c:pt idx="26">
                  <c:v>0.84</c:v>
                </c:pt>
              </c:numCache>
            </c:numRef>
          </c:val>
          <c:smooth val="0"/>
          <c:extLst>
            <c:ext xmlns:c16="http://schemas.microsoft.com/office/drawing/2014/chart" uri="{C3380CC4-5D6E-409C-BE32-E72D297353CC}">
              <c16:uniqueId val="{00000001-116E-4F3A-BB8F-9A95C6EEC6F0}"/>
            </c:ext>
          </c:extLst>
        </c:ser>
        <c:ser>
          <c:idx val="4"/>
          <c:order val="2"/>
          <c:tx>
            <c:strRef>
              <c:f>'Low Case'!$A$163</c:f>
              <c:strCache>
                <c:ptCount val="1"/>
                <c:pt idx="0">
                  <c:v>Recovery - gold</c:v>
                </c:pt>
              </c:strCache>
            </c:strRef>
          </c:tx>
          <c:spPr>
            <a:ln w="57150">
              <a:solidFill>
                <a:srgbClr val="FFFF00"/>
              </a:solidFill>
              <a:prstDash val="sysDash"/>
            </a:ln>
          </c:spPr>
          <c:marker>
            <c:symbol val="none"/>
          </c:marker>
          <c:cat>
            <c:numRef>
              <c:f>'Low Case'!$D$94:$AD$94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'Low Case'!$D$163:$AD$163</c:f>
              <c:numCache>
                <c:formatCode>0.0%</c:formatCode>
                <c:ptCount val="27"/>
                <c:pt idx="0">
                  <c:v>0.72</c:v>
                </c:pt>
                <c:pt idx="1">
                  <c:v>0.72</c:v>
                </c:pt>
                <c:pt idx="2">
                  <c:v>0.72</c:v>
                </c:pt>
                <c:pt idx="3">
                  <c:v>0.72</c:v>
                </c:pt>
                <c:pt idx="4">
                  <c:v>0.72</c:v>
                </c:pt>
                <c:pt idx="5">
                  <c:v>0.72</c:v>
                </c:pt>
                <c:pt idx="6">
                  <c:v>0.72</c:v>
                </c:pt>
                <c:pt idx="7">
                  <c:v>0.72</c:v>
                </c:pt>
                <c:pt idx="8">
                  <c:v>0.72</c:v>
                </c:pt>
                <c:pt idx="9">
                  <c:v>0.72</c:v>
                </c:pt>
                <c:pt idx="10">
                  <c:v>0.72</c:v>
                </c:pt>
                <c:pt idx="11">
                  <c:v>0.72</c:v>
                </c:pt>
                <c:pt idx="12">
                  <c:v>0.72</c:v>
                </c:pt>
                <c:pt idx="13">
                  <c:v>0.72</c:v>
                </c:pt>
                <c:pt idx="14">
                  <c:v>0.72</c:v>
                </c:pt>
                <c:pt idx="15">
                  <c:v>0.72</c:v>
                </c:pt>
                <c:pt idx="16">
                  <c:v>0.72</c:v>
                </c:pt>
                <c:pt idx="17">
                  <c:v>0.72</c:v>
                </c:pt>
                <c:pt idx="18">
                  <c:v>0.72</c:v>
                </c:pt>
                <c:pt idx="19">
                  <c:v>0.72</c:v>
                </c:pt>
                <c:pt idx="20">
                  <c:v>0.72</c:v>
                </c:pt>
                <c:pt idx="21">
                  <c:v>0.72</c:v>
                </c:pt>
                <c:pt idx="22">
                  <c:v>0.72</c:v>
                </c:pt>
                <c:pt idx="23">
                  <c:v>0.72</c:v>
                </c:pt>
                <c:pt idx="24">
                  <c:v>0.72</c:v>
                </c:pt>
                <c:pt idx="25">
                  <c:v>0.72</c:v>
                </c:pt>
                <c:pt idx="26">
                  <c:v>0.72</c:v>
                </c:pt>
              </c:numCache>
            </c:numRef>
          </c:val>
          <c:smooth val="0"/>
          <c:extLst>
            <c:ext xmlns:c16="http://schemas.microsoft.com/office/drawing/2014/chart" uri="{C3380CC4-5D6E-409C-BE32-E72D297353CC}">
              <c16:uniqueId val="{00000002-116E-4F3A-BB8F-9A95C6EEC6F0}"/>
            </c:ext>
          </c:extLst>
        </c:ser>
        <c:ser>
          <c:idx val="1"/>
          <c:order val="3"/>
          <c:tx>
            <c:strRef>
              <c:f>'Low Case'!$A$176</c:f>
              <c:strCache>
                <c:ptCount val="1"/>
                <c:pt idx="0">
                  <c:v>Recovery - moly</c:v>
                </c:pt>
              </c:strCache>
            </c:strRef>
          </c:tx>
          <c:spPr>
            <a:ln w="41275">
              <a:solidFill>
                <a:schemeClr val="accent4">
                  <a:lumMod val="75000"/>
                </a:schemeClr>
              </a:solidFill>
              <a:prstDash val="sysDash"/>
            </a:ln>
          </c:spPr>
          <c:marker>
            <c:symbol val="none"/>
          </c:marker>
          <c:cat>
            <c:numRef>
              <c:f>'Low Case'!$D$94:$AD$94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'Low Case'!$D$176:$AD$176</c:f>
              <c:numCache>
                <c:formatCode>0%</c:formatCode>
                <c:ptCount val="27"/>
                <c:pt idx="0">
                  <c:v>0.6</c:v>
                </c:pt>
                <c:pt idx="1">
                  <c:v>0.6</c:v>
                </c:pt>
                <c:pt idx="2">
                  <c:v>0.6</c:v>
                </c:pt>
                <c:pt idx="3">
                  <c:v>0.6</c:v>
                </c:pt>
                <c:pt idx="4">
                  <c:v>0.6</c:v>
                </c:pt>
                <c:pt idx="5">
                  <c:v>0.6</c:v>
                </c:pt>
                <c:pt idx="6">
                  <c:v>0.6</c:v>
                </c:pt>
                <c:pt idx="7">
                  <c:v>0.6</c:v>
                </c:pt>
                <c:pt idx="8">
                  <c:v>0.6</c:v>
                </c:pt>
                <c:pt idx="9">
                  <c:v>0.6</c:v>
                </c:pt>
                <c:pt idx="10">
                  <c:v>0.6</c:v>
                </c:pt>
                <c:pt idx="11">
                  <c:v>0.6</c:v>
                </c:pt>
                <c:pt idx="12">
                  <c:v>0.6</c:v>
                </c:pt>
                <c:pt idx="13">
                  <c:v>0.6</c:v>
                </c:pt>
                <c:pt idx="14">
                  <c:v>0.6</c:v>
                </c:pt>
                <c:pt idx="15">
                  <c:v>0.6</c:v>
                </c:pt>
                <c:pt idx="16">
                  <c:v>0.6</c:v>
                </c:pt>
                <c:pt idx="17">
                  <c:v>0.6</c:v>
                </c:pt>
                <c:pt idx="18">
                  <c:v>0.6</c:v>
                </c:pt>
                <c:pt idx="19">
                  <c:v>0.6</c:v>
                </c:pt>
                <c:pt idx="20">
                  <c:v>0.6</c:v>
                </c:pt>
                <c:pt idx="21">
                  <c:v>0.6</c:v>
                </c:pt>
                <c:pt idx="22">
                  <c:v>0.6</c:v>
                </c:pt>
                <c:pt idx="23">
                  <c:v>0.6</c:v>
                </c:pt>
                <c:pt idx="24">
                  <c:v>0.6</c:v>
                </c:pt>
                <c:pt idx="25">
                  <c:v>0.6</c:v>
                </c:pt>
                <c:pt idx="26">
                  <c:v>0.6</c:v>
                </c:pt>
              </c:numCache>
            </c:numRef>
          </c:val>
          <c:smooth val="0"/>
          <c:extLst>
            <c:ext xmlns:c16="http://schemas.microsoft.com/office/drawing/2014/chart" uri="{C3380CC4-5D6E-409C-BE32-E72D297353CC}">
              <c16:uniqueId val="{00000003-116E-4F3A-BB8F-9A95C6EEC6F0}"/>
            </c:ext>
          </c:extLst>
        </c:ser>
        <c:dLbls>
          <c:showLegendKey val="0"/>
          <c:showVal val="0"/>
          <c:showCatName val="0"/>
          <c:showSerName val="0"/>
          <c:showPercent val="0"/>
          <c:showBubbleSize val="0"/>
        </c:dLbls>
        <c:marker val="1"/>
        <c:smooth val="0"/>
        <c:axId val="314915936"/>
        <c:axId val="371404896"/>
      </c:lineChart>
      <c:catAx>
        <c:axId val="314920640"/>
        <c:scaling>
          <c:orientation val="minMax"/>
        </c:scaling>
        <c:delete val="0"/>
        <c:axPos val="b"/>
        <c:numFmt formatCode="0" sourceLinked="1"/>
        <c:majorTickMark val="out"/>
        <c:minorTickMark val="none"/>
        <c:tickLblPos val="nextTo"/>
        <c:txPr>
          <a:bodyPr/>
          <a:lstStyle/>
          <a:p>
            <a:pPr>
              <a:defRPr sz="1000" b="0"/>
            </a:pPr>
            <a:endParaRPr lang="en-US"/>
          </a:p>
        </c:txPr>
        <c:crossAx val="314921816"/>
        <c:crosses val="autoZero"/>
        <c:auto val="1"/>
        <c:lblAlgn val="ctr"/>
        <c:lblOffset val="100"/>
        <c:noMultiLvlLbl val="0"/>
      </c:catAx>
      <c:valAx>
        <c:axId val="314921816"/>
        <c:scaling>
          <c:orientation val="minMax"/>
        </c:scaling>
        <c:delete val="0"/>
        <c:axPos val="l"/>
        <c:majorGridlines/>
        <c:title>
          <c:tx>
            <c:rich>
              <a:bodyPr rot="-5400000" vert="horz"/>
              <a:lstStyle/>
              <a:p>
                <a:pPr algn="ctr" rtl="0">
                  <a:defRPr lang="en-US" sz="1200" b="1" i="0" u="none" strike="noStrike" kern="1200" baseline="0">
                    <a:solidFill>
                      <a:sysClr val="windowText" lastClr="000000"/>
                    </a:solidFill>
                    <a:latin typeface="+mn-lt"/>
                    <a:ea typeface="+mn-ea"/>
                    <a:cs typeface="+mn-cs"/>
                  </a:defRPr>
                </a:pPr>
                <a:r>
                  <a:rPr lang="en-US" sz="1200" b="1" i="0" u="none" strike="noStrike" kern="1200" baseline="0">
                    <a:solidFill>
                      <a:sysClr val="windowText" lastClr="000000"/>
                    </a:solidFill>
                    <a:latin typeface="+mn-lt"/>
                    <a:ea typeface="+mn-ea"/>
                    <a:cs typeface="+mn-cs"/>
                  </a:rPr>
                  <a:t>millions tonnes</a:t>
                </a:r>
              </a:p>
            </c:rich>
          </c:tx>
          <c:layout>
            <c:manualLayout>
              <c:xMode val="edge"/>
              <c:yMode val="edge"/>
              <c:x val="2.7469094488188975E-2"/>
              <c:y val="0.2384182441878589"/>
            </c:manualLayout>
          </c:layout>
          <c:overlay val="0"/>
        </c:title>
        <c:numFmt formatCode="#,##0" sourceLinked="1"/>
        <c:majorTickMark val="out"/>
        <c:minorTickMark val="none"/>
        <c:tickLblPos val="nextTo"/>
        <c:txPr>
          <a:bodyPr/>
          <a:lstStyle/>
          <a:p>
            <a:pPr>
              <a:defRPr sz="1000" b="0">
                <a:solidFill>
                  <a:sysClr val="windowText" lastClr="000000"/>
                </a:solidFill>
              </a:defRPr>
            </a:pPr>
            <a:endParaRPr lang="en-US"/>
          </a:p>
        </c:txPr>
        <c:crossAx val="314920640"/>
        <c:crosses val="autoZero"/>
        <c:crossBetween val="between"/>
      </c:valAx>
      <c:catAx>
        <c:axId val="314915936"/>
        <c:scaling>
          <c:orientation val="minMax"/>
        </c:scaling>
        <c:delete val="1"/>
        <c:axPos val="b"/>
        <c:numFmt formatCode="0" sourceLinked="1"/>
        <c:majorTickMark val="out"/>
        <c:minorTickMark val="none"/>
        <c:tickLblPos val="none"/>
        <c:crossAx val="371404896"/>
        <c:crosses val="autoZero"/>
        <c:auto val="1"/>
        <c:lblAlgn val="ctr"/>
        <c:lblOffset val="100"/>
        <c:noMultiLvlLbl val="0"/>
      </c:catAx>
      <c:valAx>
        <c:axId val="371404896"/>
        <c:scaling>
          <c:orientation val="minMax"/>
        </c:scaling>
        <c:delete val="0"/>
        <c:axPos val="r"/>
        <c:title>
          <c:tx>
            <c:rich>
              <a:bodyPr rot="-5400000" vert="horz"/>
              <a:lstStyle/>
              <a:p>
                <a:pPr algn="ctr" rtl="0">
                  <a:defRPr lang="en-US" sz="1200" b="1" i="0" u="none" strike="noStrike" kern="1200" baseline="0">
                    <a:solidFill>
                      <a:sysClr val="windowText" lastClr="000000"/>
                    </a:solidFill>
                    <a:latin typeface="+mn-lt"/>
                    <a:ea typeface="+mn-ea"/>
                    <a:cs typeface="+mn-cs"/>
                  </a:defRPr>
                </a:pPr>
                <a:r>
                  <a:rPr lang="en-US" sz="1200" b="1" i="0" u="none" strike="noStrike" kern="1200" baseline="0">
                    <a:solidFill>
                      <a:sysClr val="windowText" lastClr="000000"/>
                    </a:solidFill>
                    <a:latin typeface="+mn-lt"/>
                    <a:ea typeface="+mn-ea"/>
                    <a:cs typeface="+mn-cs"/>
                  </a:rPr>
                  <a:t>Recovery</a:t>
                </a:r>
              </a:p>
            </c:rich>
          </c:tx>
          <c:layout>
            <c:manualLayout>
              <c:xMode val="edge"/>
              <c:yMode val="edge"/>
              <c:x val="0.95342123660978828"/>
              <c:y val="0.30269512730006892"/>
            </c:manualLayout>
          </c:layout>
          <c:overlay val="0"/>
        </c:title>
        <c:numFmt formatCode="0%" sourceLinked="0"/>
        <c:majorTickMark val="out"/>
        <c:minorTickMark val="none"/>
        <c:tickLblPos val="nextTo"/>
        <c:txPr>
          <a:bodyPr/>
          <a:lstStyle/>
          <a:p>
            <a:pPr>
              <a:defRPr sz="900" baseline="0">
                <a:solidFill>
                  <a:sysClr val="windowText" lastClr="000000"/>
                </a:solidFill>
              </a:defRPr>
            </a:pPr>
            <a:endParaRPr lang="en-US"/>
          </a:p>
        </c:txPr>
        <c:crossAx val="314915936"/>
        <c:crosses val="max"/>
        <c:crossBetween val="between"/>
      </c:valAx>
    </c:plotArea>
    <c:legend>
      <c:legendPos val="b"/>
      <c:layout>
        <c:manualLayout>
          <c:xMode val="edge"/>
          <c:yMode val="edge"/>
          <c:x val="1.5630600182165182E-3"/>
          <c:y val="0.71163843058161846"/>
          <c:w val="0.98357553913239948"/>
          <c:h val="0.2556563359220197"/>
        </c:manualLayout>
      </c:layout>
      <c:overlay val="0"/>
      <c:txPr>
        <a:bodyPr/>
        <a:lstStyle/>
        <a:p>
          <a:pPr>
            <a:defRPr sz="1000" b="0"/>
          </a:pPr>
          <a:endParaRPr lang="en-US"/>
        </a:p>
      </c:txPr>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a:pPr>
            <a:r>
              <a:rPr lang="en-US"/>
              <a:t>forecasts of prices and TC</a:t>
            </a:r>
          </a:p>
        </c:rich>
      </c:tx>
      <c:layout>
        <c:manualLayout>
          <c:xMode val="edge"/>
          <c:yMode val="edge"/>
          <c:x val="0.30893885197745996"/>
          <c:y val="2.7203070780342641E-2"/>
        </c:manualLayout>
      </c:layout>
      <c:overlay val="0"/>
    </c:title>
    <c:autoTitleDeleted val="0"/>
    <c:plotArea>
      <c:layout>
        <c:manualLayout>
          <c:layoutTarget val="inner"/>
          <c:xMode val="edge"/>
          <c:yMode val="edge"/>
          <c:x val="0.17265997841640354"/>
          <c:y val="0.12929628817345606"/>
          <c:w val="0.68444781965706059"/>
          <c:h val="0.50615528533472709"/>
        </c:manualLayout>
      </c:layout>
      <c:lineChart>
        <c:grouping val="standard"/>
        <c:varyColors val="0"/>
        <c:ser>
          <c:idx val="3"/>
          <c:order val="1"/>
          <c:tx>
            <c:strRef>
              <c:f>'Low Case'!$A$227</c:f>
              <c:strCache>
                <c:ptCount val="1"/>
                <c:pt idx="0">
                  <c:v>Copper price forecast - Low Case</c:v>
                </c:pt>
              </c:strCache>
            </c:strRef>
          </c:tx>
          <c:spPr>
            <a:ln w="28575">
              <a:solidFill>
                <a:srgbClr val="FFC000"/>
              </a:solidFill>
              <a:prstDash val="solid"/>
            </a:ln>
          </c:spPr>
          <c:marker>
            <c:symbol val="none"/>
          </c:marker>
          <c:cat>
            <c:numRef>
              <c:f>'Low Case'!$D$94:$AD$94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'Low Case'!$D$227:$AD$227</c:f>
              <c:numCache>
                <c:formatCode>#,##0.00</c:formatCode>
                <c:ptCount val="27"/>
                <c:pt idx="0">
                  <c:v>3.5</c:v>
                </c:pt>
                <c:pt idx="1">
                  <c:v>3.5</c:v>
                </c:pt>
                <c:pt idx="2">
                  <c:v>3.5</c:v>
                </c:pt>
                <c:pt idx="3">
                  <c:v>3.5</c:v>
                </c:pt>
                <c:pt idx="4">
                  <c:v>3.5</c:v>
                </c:pt>
                <c:pt idx="5">
                  <c:v>3.5</c:v>
                </c:pt>
                <c:pt idx="6">
                  <c:v>3.5</c:v>
                </c:pt>
                <c:pt idx="7">
                  <c:v>3.5</c:v>
                </c:pt>
                <c:pt idx="8">
                  <c:v>3.5</c:v>
                </c:pt>
                <c:pt idx="9">
                  <c:v>3.5</c:v>
                </c:pt>
                <c:pt idx="10">
                  <c:v>3.5</c:v>
                </c:pt>
                <c:pt idx="11">
                  <c:v>3.5</c:v>
                </c:pt>
                <c:pt idx="12">
                  <c:v>3.5</c:v>
                </c:pt>
                <c:pt idx="13">
                  <c:v>3.5</c:v>
                </c:pt>
                <c:pt idx="14">
                  <c:v>3.5</c:v>
                </c:pt>
                <c:pt idx="15">
                  <c:v>3.5</c:v>
                </c:pt>
                <c:pt idx="16">
                  <c:v>3.5</c:v>
                </c:pt>
                <c:pt idx="17">
                  <c:v>3.5</c:v>
                </c:pt>
                <c:pt idx="18">
                  <c:v>3.5</c:v>
                </c:pt>
                <c:pt idx="19">
                  <c:v>3.5</c:v>
                </c:pt>
                <c:pt idx="20">
                  <c:v>3.5</c:v>
                </c:pt>
                <c:pt idx="21">
                  <c:v>3.5</c:v>
                </c:pt>
                <c:pt idx="22">
                  <c:v>3.5</c:v>
                </c:pt>
                <c:pt idx="23">
                  <c:v>3.5</c:v>
                </c:pt>
                <c:pt idx="24">
                  <c:v>3.5</c:v>
                </c:pt>
                <c:pt idx="25">
                  <c:v>3.5</c:v>
                </c:pt>
                <c:pt idx="26">
                  <c:v>3.5</c:v>
                </c:pt>
              </c:numCache>
            </c:numRef>
          </c:val>
          <c:smooth val="0"/>
          <c:extLst>
            <c:ext xmlns:c16="http://schemas.microsoft.com/office/drawing/2014/chart" uri="{C3380CC4-5D6E-409C-BE32-E72D297353CC}">
              <c16:uniqueId val="{00000000-FD19-4766-87C5-5003DA1D5C38}"/>
            </c:ext>
          </c:extLst>
        </c:ser>
        <c:dLbls>
          <c:showLegendKey val="0"/>
          <c:showVal val="0"/>
          <c:showCatName val="0"/>
          <c:showSerName val="0"/>
          <c:showPercent val="0"/>
          <c:showBubbleSize val="0"/>
        </c:dLbls>
        <c:marker val="1"/>
        <c:smooth val="0"/>
        <c:axId val="371400976"/>
        <c:axId val="371399800"/>
      </c:lineChart>
      <c:lineChart>
        <c:grouping val="standard"/>
        <c:varyColors val="0"/>
        <c:ser>
          <c:idx val="0"/>
          <c:order val="0"/>
          <c:tx>
            <c:strRef>
              <c:f>'Low Case'!$A$105</c:f>
              <c:strCache>
                <c:ptCount val="1"/>
                <c:pt idx="0">
                  <c:v>copper conc - treatment terms - Low Case</c:v>
                </c:pt>
              </c:strCache>
            </c:strRef>
          </c:tx>
          <c:spPr>
            <a:ln w="63500">
              <a:solidFill>
                <a:srgbClr val="92D050"/>
              </a:solidFill>
              <a:prstDash val="sysDot"/>
            </a:ln>
          </c:spPr>
          <c:marker>
            <c:symbol val="none"/>
          </c:marker>
          <c:cat>
            <c:numRef>
              <c:f>'Low Case'!$D$94:$AD$94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'Low Case'!$D$105:$AD$105</c:f>
              <c:numCache>
                <c:formatCode>#,##0.00</c:formatCode>
                <c:ptCount val="27"/>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numCache>
            </c:numRef>
          </c:val>
          <c:smooth val="0"/>
          <c:extLst>
            <c:ext xmlns:c16="http://schemas.microsoft.com/office/drawing/2014/chart" uri="{C3380CC4-5D6E-409C-BE32-E72D297353CC}">
              <c16:uniqueId val="{00000001-FD19-4766-87C5-5003DA1D5C38}"/>
            </c:ext>
          </c:extLst>
        </c:ser>
        <c:ser>
          <c:idx val="2"/>
          <c:order val="2"/>
          <c:tx>
            <c:strRef>
              <c:f>'Low Case'!$A$291</c:f>
              <c:strCache>
                <c:ptCount val="1"/>
                <c:pt idx="0">
                  <c:v>Moly price forecast - Low Case</c:v>
                </c:pt>
              </c:strCache>
            </c:strRef>
          </c:tx>
          <c:spPr>
            <a:ln w="28575">
              <a:solidFill>
                <a:schemeClr val="accent4">
                  <a:lumMod val="50000"/>
                </a:schemeClr>
              </a:solidFill>
              <a:prstDash val="dash"/>
            </a:ln>
          </c:spPr>
          <c:marker>
            <c:symbol val="none"/>
          </c:marker>
          <c:cat>
            <c:numRef>
              <c:f>'Low Case'!$D$94:$AD$94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'Low Case'!$D$291:$AD$291</c:f>
              <c:numCache>
                <c:formatCode>#,##0.00</c:formatCode>
                <c:ptCount val="27"/>
                <c:pt idx="0">
                  <c:v>20</c:v>
                </c:pt>
                <c:pt idx="1">
                  <c:v>20</c:v>
                </c:pt>
                <c:pt idx="2">
                  <c:v>20</c:v>
                </c:pt>
                <c:pt idx="3">
                  <c:v>20</c:v>
                </c:pt>
                <c:pt idx="4">
                  <c:v>20</c:v>
                </c:pt>
                <c:pt idx="5">
                  <c:v>20</c:v>
                </c:pt>
                <c:pt idx="6">
                  <c:v>20</c:v>
                </c:pt>
                <c:pt idx="7">
                  <c:v>20</c:v>
                </c:pt>
                <c:pt idx="8">
                  <c:v>20</c:v>
                </c:pt>
                <c:pt idx="9">
                  <c:v>20</c:v>
                </c:pt>
                <c:pt idx="10">
                  <c:v>20</c:v>
                </c:pt>
                <c:pt idx="11">
                  <c:v>20</c:v>
                </c:pt>
                <c:pt idx="12">
                  <c:v>20</c:v>
                </c:pt>
                <c:pt idx="13">
                  <c:v>20</c:v>
                </c:pt>
                <c:pt idx="14">
                  <c:v>20</c:v>
                </c:pt>
                <c:pt idx="15">
                  <c:v>20</c:v>
                </c:pt>
                <c:pt idx="16">
                  <c:v>20</c:v>
                </c:pt>
                <c:pt idx="17">
                  <c:v>20</c:v>
                </c:pt>
                <c:pt idx="18">
                  <c:v>20</c:v>
                </c:pt>
                <c:pt idx="19">
                  <c:v>20</c:v>
                </c:pt>
                <c:pt idx="20">
                  <c:v>20</c:v>
                </c:pt>
                <c:pt idx="21">
                  <c:v>20</c:v>
                </c:pt>
                <c:pt idx="22">
                  <c:v>20</c:v>
                </c:pt>
                <c:pt idx="23">
                  <c:v>20</c:v>
                </c:pt>
                <c:pt idx="24">
                  <c:v>20</c:v>
                </c:pt>
                <c:pt idx="25">
                  <c:v>20</c:v>
                </c:pt>
                <c:pt idx="26">
                  <c:v>20</c:v>
                </c:pt>
              </c:numCache>
            </c:numRef>
          </c:val>
          <c:smooth val="0"/>
          <c:extLst>
            <c:ext xmlns:c16="http://schemas.microsoft.com/office/drawing/2014/chart" uri="{C3380CC4-5D6E-409C-BE32-E72D297353CC}">
              <c16:uniqueId val="{00000002-FD19-4766-87C5-5003DA1D5C38}"/>
            </c:ext>
          </c:extLst>
        </c:ser>
        <c:dLbls>
          <c:showLegendKey val="0"/>
          <c:showVal val="0"/>
          <c:showCatName val="0"/>
          <c:showSerName val="0"/>
          <c:showPercent val="0"/>
          <c:showBubbleSize val="0"/>
        </c:dLbls>
        <c:marker val="1"/>
        <c:smooth val="0"/>
        <c:axId val="374918568"/>
        <c:axId val="313662816"/>
      </c:lineChart>
      <c:valAx>
        <c:axId val="371399800"/>
        <c:scaling>
          <c:orientation val="minMax"/>
          <c:max val="5"/>
        </c:scaling>
        <c:delete val="0"/>
        <c:axPos val="l"/>
        <c:title>
          <c:tx>
            <c:rich>
              <a:bodyPr/>
              <a:lstStyle/>
              <a:p>
                <a:pPr algn="ctr" rtl="0">
                  <a:defRPr/>
                </a:pPr>
                <a:r>
                  <a:rPr lang="en-US"/>
                  <a:t>Moly price &amp; Copper Conc  TC</a:t>
                </a:r>
              </a:p>
            </c:rich>
          </c:tx>
          <c:layout>
            <c:manualLayout>
              <c:xMode val="edge"/>
              <c:yMode val="edge"/>
              <c:x val="0.94756637869824434"/>
              <c:y val="5.9848605027408817E-2"/>
            </c:manualLayout>
          </c:layout>
          <c:overlay val="0"/>
        </c:title>
        <c:numFmt formatCode="#,##0.00" sourceLinked="1"/>
        <c:majorTickMark val="out"/>
        <c:minorTickMark val="none"/>
        <c:tickLblPos val="nextTo"/>
        <c:spPr>
          <a:ln>
            <a:solidFill>
              <a:srgbClr val="FFCC66"/>
            </a:solidFill>
          </a:ln>
        </c:spPr>
        <c:crossAx val="371400976"/>
        <c:crosses val="autoZero"/>
        <c:crossBetween val="between"/>
      </c:valAx>
      <c:catAx>
        <c:axId val="371400976"/>
        <c:scaling>
          <c:orientation val="minMax"/>
        </c:scaling>
        <c:delete val="0"/>
        <c:axPos val="b"/>
        <c:numFmt formatCode="0" sourceLinked="1"/>
        <c:majorTickMark val="out"/>
        <c:minorTickMark val="none"/>
        <c:tickLblPos val="nextTo"/>
        <c:crossAx val="371399800"/>
        <c:crosses val="autoZero"/>
        <c:auto val="1"/>
        <c:lblAlgn val="ctr"/>
        <c:lblOffset val="100"/>
        <c:noMultiLvlLbl val="0"/>
      </c:catAx>
      <c:valAx>
        <c:axId val="313662816"/>
        <c:scaling>
          <c:orientation val="minMax"/>
        </c:scaling>
        <c:delete val="0"/>
        <c:axPos val="r"/>
        <c:title>
          <c:tx>
            <c:rich>
              <a:bodyPr/>
              <a:lstStyle/>
              <a:p>
                <a:pPr>
                  <a:defRPr/>
                </a:pPr>
                <a:r>
                  <a:rPr lang="en-US"/>
                  <a:t>Copper   US$/lb</a:t>
                </a:r>
              </a:p>
            </c:rich>
          </c:tx>
          <c:layout>
            <c:manualLayout>
              <c:xMode val="edge"/>
              <c:yMode val="edge"/>
              <c:x val="1.6227991938619696E-2"/>
              <c:y val="0.19461567423699322"/>
            </c:manualLayout>
          </c:layout>
          <c:overlay val="0"/>
        </c:title>
        <c:numFmt formatCode="#,##0" sourceLinked="0"/>
        <c:majorTickMark val="out"/>
        <c:minorTickMark val="none"/>
        <c:tickLblPos val="nextTo"/>
        <c:txPr>
          <a:bodyPr/>
          <a:lstStyle/>
          <a:p>
            <a:pPr algn="ctr">
              <a:defRPr sz="1000" b="0"/>
            </a:pPr>
            <a:endParaRPr lang="en-US"/>
          </a:p>
        </c:txPr>
        <c:crossAx val="374918568"/>
        <c:crosses val="max"/>
        <c:crossBetween val="between"/>
        <c:majorUnit val="1"/>
      </c:valAx>
      <c:catAx>
        <c:axId val="374918568"/>
        <c:scaling>
          <c:orientation val="minMax"/>
        </c:scaling>
        <c:delete val="1"/>
        <c:axPos val="b"/>
        <c:numFmt formatCode="0" sourceLinked="1"/>
        <c:majorTickMark val="out"/>
        <c:minorTickMark val="none"/>
        <c:tickLblPos val="none"/>
        <c:crossAx val="313662816"/>
        <c:crosses val="autoZero"/>
        <c:auto val="1"/>
        <c:lblAlgn val="ctr"/>
        <c:lblOffset val="100"/>
        <c:noMultiLvlLbl val="0"/>
      </c:catAx>
      <c:spPr>
        <a:ln>
          <a:solidFill>
            <a:srgbClr val="FF0000"/>
          </a:solidFill>
          <a:prstDash val="sysDot"/>
        </a:ln>
      </c:spPr>
    </c:plotArea>
    <c:legend>
      <c:legendPos val="b"/>
      <c:layout>
        <c:manualLayout>
          <c:xMode val="edge"/>
          <c:yMode val="edge"/>
          <c:x val="3.7663468355159054E-2"/>
          <c:y val="0.80432415063906681"/>
          <c:w val="0.85389728533286369"/>
          <c:h val="0.19567584936093319"/>
        </c:manualLayout>
      </c:layout>
      <c:overlay val="0"/>
    </c:legend>
    <c:plotVisOnly val="1"/>
    <c:dispBlanksAs val="gap"/>
    <c:showDLblsOverMax val="0"/>
  </c:chart>
  <c:txPr>
    <a:bodyPr/>
    <a:lstStyle/>
    <a:p>
      <a:pPr>
        <a:defRPr sz="1000" b="1"/>
      </a:pPr>
      <a:endParaRPr lang="en-US"/>
    </a:p>
  </c:txPr>
  <c:printSettings>
    <c:headerFooter/>
    <c:pageMargins b="0.75000000000000056" l="0.70000000000000051" r="0.70000000000000051" t="0.75000000000000056" header="0.30000000000000027" footer="0.30000000000000027"/>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Copper Concentrate: </a:t>
            </a:r>
            <a:r>
              <a:rPr lang="en-US" sz="1200" b="0"/>
              <a:t>Selling price of one tonne &amp; contributions from contained metals </a:t>
            </a:r>
            <a:endParaRPr lang="en-US" sz="1400" b="0"/>
          </a:p>
        </c:rich>
      </c:tx>
      <c:layout>
        <c:manualLayout>
          <c:xMode val="edge"/>
          <c:yMode val="edge"/>
          <c:x val="0.1895739348370927"/>
          <c:y val="1.1111111111111112E-2"/>
        </c:manualLayout>
      </c:layout>
      <c:overlay val="1"/>
    </c:title>
    <c:autoTitleDeleted val="0"/>
    <c:plotArea>
      <c:layout>
        <c:manualLayout>
          <c:layoutTarget val="inner"/>
          <c:xMode val="edge"/>
          <c:yMode val="edge"/>
          <c:x val="0.15254090904914597"/>
          <c:y val="0.18470428696412949"/>
          <c:w val="0.8020285008131276"/>
          <c:h val="0.37572106394616667"/>
        </c:manualLayout>
      </c:layout>
      <c:barChart>
        <c:barDir val="col"/>
        <c:grouping val="stacked"/>
        <c:varyColors val="0"/>
        <c:ser>
          <c:idx val="0"/>
          <c:order val="0"/>
          <c:tx>
            <c:strRef>
              <c:f>'Low Case'!$A$282</c:f>
              <c:strCache>
                <c:ptCount val="1"/>
                <c:pt idx="0">
                  <c:v>copper concentrate - net copper</c:v>
                </c:pt>
              </c:strCache>
            </c:strRef>
          </c:tx>
          <c:spPr>
            <a:solidFill>
              <a:srgbClr val="FFC000"/>
            </a:solidFill>
            <a:ln>
              <a:noFill/>
            </a:ln>
          </c:spPr>
          <c:invertIfNegative val="0"/>
          <c:cat>
            <c:numRef>
              <c:f>'Low Case'!$D$94:$AD$94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'Low Case'!$D$282:$AD$282</c:f>
              <c:numCache>
                <c:formatCode>#,##0</c:formatCode>
                <c:ptCount val="27"/>
                <c:pt idx="0">
                  <c:v>0</c:v>
                </c:pt>
                <c:pt idx="1">
                  <c:v>0</c:v>
                </c:pt>
                <c:pt idx="2">
                  <c:v>2145.8061785999998</c:v>
                </c:pt>
                <c:pt idx="3">
                  <c:v>2145.8061785999998</c:v>
                </c:pt>
                <c:pt idx="4">
                  <c:v>2145.8061785999998</c:v>
                </c:pt>
                <c:pt idx="5">
                  <c:v>2145.8061785999998</c:v>
                </c:pt>
                <c:pt idx="6">
                  <c:v>2145.8061785999998</c:v>
                </c:pt>
                <c:pt idx="7">
                  <c:v>2145.8061785999998</c:v>
                </c:pt>
                <c:pt idx="8">
                  <c:v>2145.8061785999998</c:v>
                </c:pt>
                <c:pt idx="9">
                  <c:v>2145.8061785999998</c:v>
                </c:pt>
                <c:pt idx="10">
                  <c:v>2145.8061785999998</c:v>
                </c:pt>
                <c:pt idx="11">
                  <c:v>2145.8061785999998</c:v>
                </c:pt>
                <c:pt idx="12">
                  <c:v>2145.8061785999998</c:v>
                </c:pt>
                <c:pt idx="13">
                  <c:v>2145.8061785999998</c:v>
                </c:pt>
                <c:pt idx="14">
                  <c:v>2145.8061785999998</c:v>
                </c:pt>
                <c:pt idx="15">
                  <c:v>2145.8061785999998</c:v>
                </c:pt>
                <c:pt idx="16">
                  <c:v>2145.8061785999998</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0-1A2E-42A7-8B21-353EEAB295D2}"/>
            </c:ext>
          </c:extLst>
        </c:ser>
        <c:ser>
          <c:idx val="1"/>
          <c:order val="1"/>
          <c:tx>
            <c:strRef>
              <c:f>'Low Case'!$A$283</c:f>
              <c:strCache>
                <c:ptCount val="1"/>
                <c:pt idx="0">
                  <c:v>copper concentrate - net gold</c:v>
                </c:pt>
              </c:strCache>
            </c:strRef>
          </c:tx>
          <c:spPr>
            <a:solidFill>
              <a:srgbClr val="FFFF00"/>
            </a:solidFill>
          </c:spPr>
          <c:invertIfNegative val="0"/>
          <c:cat>
            <c:numRef>
              <c:f>'Low Case'!$D$94:$AD$94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'Low Case'!$D$283:$AD$283</c:f>
              <c:numCache>
                <c:formatCode>#,##0</c:formatCode>
                <c:ptCount val="27"/>
                <c:pt idx="0">
                  <c:v>0</c:v>
                </c:pt>
                <c:pt idx="1">
                  <c:v>0</c:v>
                </c:pt>
                <c:pt idx="2">
                  <c:v>248.20421138347177</c:v>
                </c:pt>
                <c:pt idx="3">
                  <c:v>248.20421138347183</c:v>
                </c:pt>
                <c:pt idx="4">
                  <c:v>248.20421138347183</c:v>
                </c:pt>
                <c:pt idx="5">
                  <c:v>248.20421138347183</c:v>
                </c:pt>
                <c:pt idx="6">
                  <c:v>248.20421138347177</c:v>
                </c:pt>
                <c:pt idx="7">
                  <c:v>246.2225410331047</c:v>
                </c:pt>
                <c:pt idx="8">
                  <c:v>245.18193788108562</c:v>
                </c:pt>
                <c:pt idx="9">
                  <c:v>245.18193788108562</c:v>
                </c:pt>
                <c:pt idx="10">
                  <c:v>245.18193788108562</c:v>
                </c:pt>
                <c:pt idx="11">
                  <c:v>245.18193788108562</c:v>
                </c:pt>
                <c:pt idx="12">
                  <c:v>245.4565099231875</c:v>
                </c:pt>
                <c:pt idx="13">
                  <c:v>242.68856224161686</c:v>
                </c:pt>
                <c:pt idx="14">
                  <c:v>242.68856224161686</c:v>
                </c:pt>
                <c:pt idx="15">
                  <c:v>242.68856224161686</c:v>
                </c:pt>
                <c:pt idx="16">
                  <c:v>242.68856224161686</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1-1A2E-42A7-8B21-353EEAB295D2}"/>
            </c:ext>
          </c:extLst>
        </c:ser>
        <c:ser>
          <c:idx val="2"/>
          <c:order val="2"/>
          <c:tx>
            <c:strRef>
              <c:f>'Low Case'!$A$284</c:f>
              <c:strCache>
                <c:ptCount val="1"/>
                <c:pt idx="0">
                  <c:v>copper concentrate - net silver</c:v>
                </c:pt>
              </c:strCache>
            </c:strRef>
          </c:tx>
          <c:spPr>
            <a:ln>
              <a:solidFill>
                <a:schemeClr val="bg1">
                  <a:lumMod val="75000"/>
                </a:schemeClr>
              </a:solidFill>
            </a:ln>
          </c:spPr>
          <c:invertIfNegative val="0"/>
          <c:cat>
            <c:numRef>
              <c:f>'Low Case'!$D$94:$AD$94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'Low Case'!$D$284:$AD$284</c:f>
              <c:numCache>
                <c:formatCode>#,##0</c:formatCode>
                <c:ptCount val="27"/>
                <c:pt idx="0">
                  <c:v>0</c:v>
                </c:pt>
                <c:pt idx="1">
                  <c:v>0</c:v>
                </c:pt>
                <c:pt idx="2">
                  <c:v>16.011400175387308</c:v>
                </c:pt>
                <c:pt idx="3">
                  <c:v>16.011400175387315</c:v>
                </c:pt>
                <c:pt idx="4">
                  <c:v>16.011400175387315</c:v>
                </c:pt>
                <c:pt idx="5">
                  <c:v>16.011400175387315</c:v>
                </c:pt>
                <c:pt idx="6">
                  <c:v>16.011400175387305</c:v>
                </c:pt>
                <c:pt idx="7">
                  <c:v>1.7677448377142226</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2-1A2E-42A7-8B21-353EEAB295D2}"/>
            </c:ext>
          </c:extLst>
        </c:ser>
        <c:dLbls>
          <c:showLegendKey val="0"/>
          <c:showVal val="0"/>
          <c:showCatName val="0"/>
          <c:showSerName val="0"/>
          <c:showPercent val="0"/>
          <c:showBubbleSize val="0"/>
        </c:dLbls>
        <c:gapWidth val="0"/>
        <c:overlap val="100"/>
        <c:axId val="374916216"/>
        <c:axId val="374917392"/>
      </c:barChart>
      <c:catAx>
        <c:axId val="374916216"/>
        <c:scaling>
          <c:orientation val="minMax"/>
        </c:scaling>
        <c:delete val="0"/>
        <c:axPos val="b"/>
        <c:numFmt formatCode="0" sourceLinked="1"/>
        <c:majorTickMark val="out"/>
        <c:minorTickMark val="none"/>
        <c:tickLblPos val="nextTo"/>
        <c:txPr>
          <a:bodyPr/>
          <a:lstStyle/>
          <a:p>
            <a:pPr algn="ctr">
              <a:defRPr lang="en-US" sz="1000" b="1" i="0" u="none" strike="noStrike" kern="1200" baseline="0">
                <a:solidFill>
                  <a:schemeClr val="tx1"/>
                </a:solidFill>
                <a:latin typeface="+mn-lt"/>
                <a:ea typeface="+mn-ea"/>
                <a:cs typeface="+mn-cs"/>
              </a:defRPr>
            </a:pPr>
            <a:endParaRPr lang="en-US"/>
          </a:p>
        </c:txPr>
        <c:crossAx val="374917392"/>
        <c:crosses val="autoZero"/>
        <c:auto val="1"/>
        <c:lblAlgn val="ctr"/>
        <c:lblOffset val="100"/>
        <c:noMultiLvlLbl val="0"/>
      </c:catAx>
      <c:valAx>
        <c:axId val="374917392"/>
        <c:scaling>
          <c:orientation val="minMax"/>
        </c:scaling>
        <c:delete val="0"/>
        <c:axPos val="l"/>
        <c:majorGridlines/>
        <c:title>
          <c:tx>
            <c:rich>
              <a:bodyPr rot="-5400000" vert="horz"/>
              <a:lstStyle/>
              <a:p>
                <a:pPr>
                  <a:defRPr sz="1200" b="1"/>
                </a:pPr>
                <a:r>
                  <a:rPr lang="en-US" sz="1200" b="1"/>
                  <a:t>US$million</a:t>
                </a:r>
              </a:p>
            </c:rich>
          </c:tx>
          <c:layout>
            <c:manualLayout>
              <c:xMode val="edge"/>
              <c:yMode val="edge"/>
              <c:x val="1.5653154466802762E-2"/>
              <c:y val="0.42055477982985212"/>
            </c:manualLayout>
          </c:layout>
          <c:overlay val="0"/>
        </c:title>
        <c:numFmt formatCode="#,##0" sourceLinked="1"/>
        <c:majorTickMark val="out"/>
        <c:minorTickMark val="none"/>
        <c:tickLblPos val="nextTo"/>
        <c:txPr>
          <a:bodyPr/>
          <a:lstStyle/>
          <a:p>
            <a:pPr>
              <a:defRPr sz="1000" b="0"/>
            </a:pPr>
            <a:endParaRPr lang="en-US"/>
          </a:p>
        </c:txPr>
        <c:crossAx val="374916216"/>
        <c:crosses val="autoZero"/>
        <c:crossBetween val="between"/>
      </c:valAx>
    </c:plotArea>
    <c:legend>
      <c:legendPos val="b"/>
      <c:layout>
        <c:manualLayout>
          <c:xMode val="edge"/>
          <c:yMode val="edge"/>
          <c:x val="7.8389674974838675E-2"/>
          <c:y val="0.764848935549723"/>
          <c:w val="0.82001578750024673"/>
          <c:h val="0.23515106445027706"/>
        </c:manualLayout>
      </c:layout>
      <c:overlay val="0"/>
      <c:txPr>
        <a:bodyPr/>
        <a:lstStyle/>
        <a:p>
          <a:pPr>
            <a:defRPr lang="en-AU" sz="1000" b="0" i="0" u="none" strike="noStrike" kern="1200" baseline="0">
              <a:solidFill>
                <a:schemeClr val="tx1"/>
              </a:solidFill>
              <a:latin typeface="+mn-lt"/>
              <a:ea typeface="+mn-ea"/>
              <a:cs typeface="+mn-cs"/>
            </a:defRPr>
          </a:pPr>
          <a:endParaRPr lang="en-US"/>
        </a:p>
      </c:txPr>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Moly: Sales</a:t>
            </a:r>
            <a:r>
              <a:rPr lang="en-US" sz="1600" baseline="0"/>
              <a:t> Volumes</a:t>
            </a:r>
            <a:r>
              <a:rPr lang="en-US" sz="1600"/>
              <a:t> </a:t>
            </a:r>
          </a:p>
        </c:rich>
      </c:tx>
      <c:layout>
        <c:manualLayout>
          <c:xMode val="edge"/>
          <c:yMode val="edge"/>
          <c:x val="0.2952579292074472"/>
          <c:y val="1.1414216447643871E-2"/>
        </c:manualLayout>
      </c:layout>
      <c:overlay val="0"/>
    </c:title>
    <c:autoTitleDeleted val="0"/>
    <c:plotArea>
      <c:layout>
        <c:manualLayout>
          <c:layoutTarget val="inner"/>
          <c:xMode val="edge"/>
          <c:yMode val="edge"/>
          <c:x val="0.15095060625614834"/>
          <c:y val="0.11247633068164936"/>
          <c:w val="0.68647960465527091"/>
          <c:h val="0.51023000769843729"/>
        </c:manualLayout>
      </c:layout>
      <c:barChart>
        <c:barDir val="col"/>
        <c:grouping val="clustered"/>
        <c:varyColors val="0"/>
        <c:ser>
          <c:idx val="2"/>
          <c:order val="0"/>
          <c:tx>
            <c:strRef>
              <c:f>'Low Case'!$A$179</c:f>
              <c:strCache>
                <c:ptCount val="1"/>
                <c:pt idx="0">
                  <c:v>moly concentrate - contained moly - Low Case</c:v>
                </c:pt>
              </c:strCache>
            </c:strRef>
          </c:tx>
          <c:spPr>
            <a:solidFill>
              <a:schemeClr val="accent4">
                <a:lumMod val="40000"/>
                <a:lumOff val="60000"/>
              </a:schemeClr>
            </a:solidFill>
            <a:ln>
              <a:noFill/>
            </a:ln>
          </c:spPr>
          <c:invertIfNegative val="0"/>
          <c:cat>
            <c:numRef>
              <c:f>'Low Case'!$D$94:$AD$94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'Low Case'!$D$179:$AD$179</c:f>
              <c:numCache>
                <c:formatCode>#,##0.0</c:formatCode>
                <c:ptCount val="27"/>
                <c:pt idx="0">
                  <c:v>0</c:v>
                </c:pt>
                <c:pt idx="1">
                  <c:v>0</c:v>
                </c:pt>
                <c:pt idx="2">
                  <c:v>2.2638461538461541</c:v>
                </c:pt>
                <c:pt idx="3">
                  <c:v>3.7799999999999994</c:v>
                </c:pt>
                <c:pt idx="4">
                  <c:v>3.7799999999999994</c:v>
                </c:pt>
                <c:pt idx="5">
                  <c:v>3.7799999999999994</c:v>
                </c:pt>
                <c:pt idx="6">
                  <c:v>3.9669230769230763</c:v>
                </c:pt>
                <c:pt idx="7">
                  <c:v>2.2223076923076928</c:v>
                </c:pt>
                <c:pt idx="8">
                  <c:v>1.62</c:v>
                </c:pt>
                <c:pt idx="9">
                  <c:v>1.62</c:v>
                </c:pt>
                <c:pt idx="10">
                  <c:v>1.62</c:v>
                </c:pt>
                <c:pt idx="11">
                  <c:v>1.62</c:v>
                </c:pt>
                <c:pt idx="12">
                  <c:v>1.8069230769230771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0-1F07-40AC-B910-AC3F13807ADE}"/>
            </c:ext>
          </c:extLst>
        </c:ser>
        <c:dLbls>
          <c:showLegendKey val="0"/>
          <c:showVal val="0"/>
          <c:showCatName val="0"/>
          <c:showSerName val="0"/>
          <c:showPercent val="0"/>
          <c:showBubbleSize val="0"/>
        </c:dLbls>
        <c:gapWidth val="50"/>
        <c:axId val="374917000"/>
        <c:axId val="374920920"/>
      </c:barChart>
      <c:lineChart>
        <c:grouping val="standard"/>
        <c:varyColors val="0"/>
        <c:ser>
          <c:idx val="1"/>
          <c:order val="1"/>
          <c:tx>
            <c:strRef>
              <c:f>'Low Case'!$A$301</c:f>
              <c:strCache>
                <c:ptCount val="1"/>
                <c:pt idx="0">
                  <c:v>moly concentrate sold</c:v>
                </c:pt>
              </c:strCache>
            </c:strRef>
          </c:tx>
          <c:spPr>
            <a:ln w="88900">
              <a:solidFill>
                <a:schemeClr val="accent4">
                  <a:lumMod val="75000"/>
                </a:schemeClr>
              </a:solidFill>
              <a:prstDash val="sysDot"/>
            </a:ln>
          </c:spPr>
          <c:marker>
            <c:symbol val="none"/>
          </c:marker>
          <c:cat>
            <c:numRef>
              <c:f>'Low Case'!$D$94:$N$94</c:f>
              <c:numCache>
                <c:formatCode>0</c:formatCode>
                <c:ptCount val="11"/>
                <c:pt idx="0">
                  <c:v>2027</c:v>
                </c:pt>
                <c:pt idx="1">
                  <c:v>2028</c:v>
                </c:pt>
                <c:pt idx="2">
                  <c:v>2029</c:v>
                </c:pt>
                <c:pt idx="3">
                  <c:v>2030</c:v>
                </c:pt>
                <c:pt idx="4">
                  <c:v>2031</c:v>
                </c:pt>
                <c:pt idx="5">
                  <c:v>2032</c:v>
                </c:pt>
                <c:pt idx="6">
                  <c:v>2033</c:v>
                </c:pt>
                <c:pt idx="7">
                  <c:v>2034</c:v>
                </c:pt>
                <c:pt idx="8">
                  <c:v>2035</c:v>
                </c:pt>
                <c:pt idx="9">
                  <c:v>2036</c:v>
                </c:pt>
                <c:pt idx="10">
                  <c:v>2037</c:v>
                </c:pt>
              </c:numCache>
            </c:numRef>
          </c:cat>
          <c:val>
            <c:numRef>
              <c:f>'Low Case'!$D$301:$AD$301</c:f>
              <c:numCache>
                <c:formatCode>#,##0</c:formatCode>
                <c:ptCount val="27"/>
                <c:pt idx="0">
                  <c:v>0</c:v>
                </c:pt>
                <c:pt idx="1">
                  <c:v>0</c:v>
                </c:pt>
                <c:pt idx="2">
                  <c:v>3.1662183969876274</c:v>
                </c:pt>
                <c:pt idx="3">
                  <c:v>6.2365788058095744</c:v>
                </c:pt>
                <c:pt idx="4">
                  <c:v>6.8727272727272721</c:v>
                </c:pt>
                <c:pt idx="5">
                  <c:v>6.8727272727272721</c:v>
                </c:pt>
                <c:pt idx="6">
                  <c:v>7.1341581495427633</c:v>
                </c:pt>
                <c:pt idx="7">
                  <c:v>4.7725658956428196</c:v>
                </c:pt>
                <c:pt idx="8">
                  <c:v>3.1981710597095212</c:v>
                </c:pt>
                <c:pt idx="9">
                  <c:v>2.9454545454545453</c:v>
                </c:pt>
                <c:pt idx="10">
                  <c:v>2.9454545454545453</c:v>
                </c:pt>
                <c:pt idx="11">
                  <c:v>2.9454545454545453</c:v>
                </c:pt>
                <c:pt idx="12">
                  <c:v>3.965034965034965</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mooth val="0"/>
          <c:extLst>
            <c:ext xmlns:c16="http://schemas.microsoft.com/office/drawing/2014/chart" uri="{C3380CC4-5D6E-409C-BE32-E72D297353CC}">
              <c16:uniqueId val="{00000001-1F07-40AC-B910-AC3F13807ADE}"/>
            </c:ext>
          </c:extLst>
        </c:ser>
        <c:dLbls>
          <c:showLegendKey val="0"/>
          <c:showVal val="0"/>
          <c:showCatName val="0"/>
          <c:showSerName val="0"/>
          <c:showPercent val="0"/>
          <c:showBubbleSize val="0"/>
        </c:dLbls>
        <c:marker val="1"/>
        <c:smooth val="0"/>
        <c:axId val="374918176"/>
        <c:axId val="374919352"/>
      </c:lineChart>
      <c:catAx>
        <c:axId val="374917000"/>
        <c:scaling>
          <c:orientation val="minMax"/>
        </c:scaling>
        <c:delete val="0"/>
        <c:axPos val="b"/>
        <c:numFmt formatCode="0" sourceLinked="1"/>
        <c:majorTickMark val="out"/>
        <c:minorTickMark val="none"/>
        <c:tickLblPos val="nextTo"/>
        <c:txPr>
          <a:bodyPr/>
          <a:lstStyle/>
          <a:p>
            <a:pPr>
              <a:defRPr sz="1000"/>
            </a:pPr>
            <a:endParaRPr lang="en-US"/>
          </a:p>
        </c:txPr>
        <c:crossAx val="374920920"/>
        <c:crosses val="autoZero"/>
        <c:auto val="1"/>
        <c:lblAlgn val="ctr"/>
        <c:lblOffset val="100"/>
        <c:noMultiLvlLbl val="0"/>
      </c:catAx>
      <c:valAx>
        <c:axId val="374920920"/>
        <c:scaling>
          <c:orientation val="minMax"/>
        </c:scaling>
        <c:delete val="0"/>
        <c:axPos val="l"/>
        <c:majorGridlines/>
        <c:title>
          <c:tx>
            <c:rich>
              <a:bodyPr rot="-5400000" vert="horz"/>
              <a:lstStyle/>
              <a:p>
                <a:pPr>
                  <a:defRPr sz="1200">
                    <a:solidFill>
                      <a:schemeClr val="accent4">
                        <a:lumMod val="60000"/>
                        <a:lumOff val="40000"/>
                      </a:schemeClr>
                    </a:solidFill>
                  </a:defRPr>
                </a:pPr>
                <a:r>
                  <a:rPr lang="en-US" sz="1200">
                    <a:solidFill>
                      <a:schemeClr val="accent4">
                        <a:lumMod val="60000"/>
                        <a:lumOff val="40000"/>
                      </a:schemeClr>
                    </a:solidFill>
                  </a:rPr>
                  <a:t>Copper Tonnes  - 000s</a:t>
                </a:r>
              </a:p>
            </c:rich>
          </c:tx>
          <c:layout>
            <c:manualLayout>
              <c:xMode val="edge"/>
              <c:yMode val="edge"/>
              <c:x val="1.2593641916255794E-2"/>
              <c:y val="0.13085992895827986"/>
            </c:manualLayout>
          </c:layout>
          <c:overlay val="0"/>
        </c:title>
        <c:numFmt formatCode="#,##0.0" sourceLinked="1"/>
        <c:majorTickMark val="out"/>
        <c:minorTickMark val="none"/>
        <c:tickLblPos val="nextTo"/>
        <c:txPr>
          <a:bodyPr/>
          <a:lstStyle/>
          <a:p>
            <a:pPr>
              <a:defRPr sz="1000" b="1" baseline="0">
                <a:solidFill>
                  <a:schemeClr val="accent4">
                    <a:lumMod val="60000"/>
                    <a:lumOff val="40000"/>
                  </a:schemeClr>
                </a:solidFill>
              </a:defRPr>
            </a:pPr>
            <a:endParaRPr lang="en-US"/>
          </a:p>
        </c:txPr>
        <c:crossAx val="374917000"/>
        <c:crosses val="autoZero"/>
        <c:crossBetween val="between"/>
      </c:valAx>
      <c:catAx>
        <c:axId val="374918176"/>
        <c:scaling>
          <c:orientation val="minMax"/>
        </c:scaling>
        <c:delete val="1"/>
        <c:axPos val="b"/>
        <c:numFmt formatCode="0" sourceLinked="1"/>
        <c:majorTickMark val="out"/>
        <c:minorTickMark val="none"/>
        <c:tickLblPos val="none"/>
        <c:crossAx val="374919352"/>
        <c:crosses val="autoZero"/>
        <c:auto val="1"/>
        <c:lblAlgn val="ctr"/>
        <c:lblOffset val="100"/>
        <c:noMultiLvlLbl val="0"/>
      </c:catAx>
      <c:valAx>
        <c:axId val="374919352"/>
        <c:scaling>
          <c:orientation val="minMax"/>
        </c:scaling>
        <c:delete val="0"/>
        <c:axPos val="r"/>
        <c:title>
          <c:tx>
            <c:rich>
              <a:bodyPr rot="-5400000" vert="horz"/>
              <a:lstStyle/>
              <a:p>
                <a:pPr>
                  <a:defRPr sz="1200">
                    <a:solidFill>
                      <a:schemeClr val="accent4">
                        <a:lumMod val="75000"/>
                      </a:schemeClr>
                    </a:solidFill>
                  </a:defRPr>
                </a:pPr>
                <a:r>
                  <a:rPr lang="en-US" sz="1200">
                    <a:solidFill>
                      <a:schemeClr val="accent4">
                        <a:lumMod val="75000"/>
                      </a:schemeClr>
                    </a:solidFill>
                  </a:rPr>
                  <a:t>Concentrate dry tonnes 000's</a:t>
                </a:r>
              </a:p>
            </c:rich>
          </c:tx>
          <c:layout>
            <c:manualLayout>
              <c:xMode val="edge"/>
              <c:yMode val="edge"/>
              <c:x val="0.9256308411214953"/>
              <c:y val="7.5998703421077507E-2"/>
            </c:manualLayout>
          </c:layout>
          <c:overlay val="0"/>
        </c:title>
        <c:numFmt formatCode="#,##0" sourceLinked="1"/>
        <c:majorTickMark val="out"/>
        <c:minorTickMark val="none"/>
        <c:tickLblPos val="nextTo"/>
        <c:txPr>
          <a:bodyPr/>
          <a:lstStyle/>
          <a:p>
            <a:pPr>
              <a:defRPr sz="1000" b="1" baseline="0">
                <a:solidFill>
                  <a:schemeClr val="accent4">
                    <a:lumMod val="75000"/>
                  </a:schemeClr>
                </a:solidFill>
              </a:defRPr>
            </a:pPr>
            <a:endParaRPr lang="en-US"/>
          </a:p>
        </c:txPr>
        <c:crossAx val="374918176"/>
        <c:crosses val="max"/>
        <c:crossBetween val="between"/>
      </c:valAx>
    </c:plotArea>
    <c:legend>
      <c:legendPos val="b"/>
      <c:layout>
        <c:manualLayout>
          <c:xMode val="edge"/>
          <c:yMode val="edge"/>
          <c:x val="0.21448421220074762"/>
          <c:y val="0.76708607393201067"/>
          <c:w val="0.72996023224369677"/>
          <c:h val="0.20082675934222782"/>
        </c:manualLayout>
      </c:layout>
      <c:overlay val="0"/>
      <c:txPr>
        <a:bodyPr/>
        <a:lstStyle/>
        <a:p>
          <a:pPr>
            <a:defRPr sz="1000" b="1"/>
          </a:pPr>
          <a:endParaRPr lang="en-US"/>
        </a:p>
      </c:txPr>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Cash Generation </a:t>
            </a:r>
            <a:r>
              <a:rPr lang="en-US" sz="1600" b="0"/>
              <a:t>- low case </a:t>
            </a:r>
          </a:p>
        </c:rich>
      </c:tx>
      <c:layout>
        <c:manualLayout>
          <c:xMode val="edge"/>
          <c:yMode val="edge"/>
          <c:x val="0.22192327284108973"/>
          <c:y val="4.3589114853267226E-2"/>
        </c:manualLayout>
      </c:layout>
      <c:overlay val="0"/>
    </c:title>
    <c:autoTitleDeleted val="0"/>
    <c:plotArea>
      <c:layout>
        <c:manualLayout>
          <c:layoutTarget val="inner"/>
          <c:xMode val="edge"/>
          <c:yMode val="edge"/>
          <c:x val="0.15450255000276172"/>
          <c:y val="5.9910251180138693E-2"/>
          <c:w val="0.81359584143953956"/>
          <c:h val="0.76572054335867135"/>
        </c:manualLayout>
      </c:layout>
      <c:barChart>
        <c:barDir val="col"/>
        <c:grouping val="stacked"/>
        <c:varyColors val="0"/>
        <c:ser>
          <c:idx val="0"/>
          <c:order val="0"/>
          <c:tx>
            <c:strRef>
              <c:f>'Low Case'!$A$748</c:f>
              <c:strCache>
                <c:ptCount val="1"/>
                <c:pt idx="0">
                  <c:v>Cash Generation - Low Case</c:v>
                </c:pt>
              </c:strCache>
            </c:strRef>
          </c:tx>
          <c:spPr>
            <a:solidFill>
              <a:srgbClr val="00B050"/>
            </a:solidFill>
            <a:ln>
              <a:noFill/>
            </a:ln>
          </c:spPr>
          <c:invertIfNegative val="0"/>
          <c:cat>
            <c:numRef>
              <c:f>'Expected NPV &amp; Common Data'!$D$36:$AD$36</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'Low Case'!$D$748:$AD$748</c:f>
              <c:numCache>
                <c:formatCode>#,##0_);[Red]\(#,##0\)</c:formatCode>
                <c:ptCount val="27"/>
                <c:pt idx="0">
                  <c:v>-257.27999999999997</c:v>
                </c:pt>
                <c:pt idx="1">
                  <c:v>-693.45</c:v>
                </c:pt>
                <c:pt idx="2">
                  <c:v>-81.958513215518508</c:v>
                </c:pt>
                <c:pt idx="3">
                  <c:v>155.74071145186926</c:v>
                </c:pt>
                <c:pt idx="4">
                  <c:v>114.10894437532389</c:v>
                </c:pt>
                <c:pt idx="5">
                  <c:v>102.41180918765519</c:v>
                </c:pt>
                <c:pt idx="6">
                  <c:v>68.654789985253444</c:v>
                </c:pt>
                <c:pt idx="7">
                  <c:v>12.189029283412872</c:v>
                </c:pt>
                <c:pt idx="8">
                  <c:v>-26.235917704770188</c:v>
                </c:pt>
                <c:pt idx="9">
                  <c:v>-45.186857663628402</c:v>
                </c:pt>
                <c:pt idx="10">
                  <c:v>-35.155236204754225</c:v>
                </c:pt>
                <c:pt idx="11">
                  <c:v>-36.878949707799265</c:v>
                </c:pt>
                <c:pt idx="12">
                  <c:v>-6.3134458463050862</c:v>
                </c:pt>
                <c:pt idx="13">
                  <c:v>0.29847647515654785</c:v>
                </c:pt>
                <c:pt idx="14">
                  <c:v>-3.1271373905820035</c:v>
                </c:pt>
                <c:pt idx="15">
                  <c:v>39.903951142268461</c:v>
                </c:pt>
                <c:pt idx="16">
                  <c:v>61.386562730067382</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0-52D5-4C2D-8756-D44C03D4E08B}"/>
            </c:ext>
          </c:extLst>
        </c:ser>
        <c:dLbls>
          <c:showLegendKey val="0"/>
          <c:showVal val="0"/>
          <c:showCatName val="0"/>
          <c:showSerName val="0"/>
          <c:showPercent val="0"/>
          <c:showBubbleSize val="0"/>
        </c:dLbls>
        <c:gapWidth val="0"/>
        <c:overlap val="100"/>
        <c:axId val="371322096"/>
        <c:axId val="371323272"/>
      </c:barChart>
      <c:lineChart>
        <c:grouping val="standard"/>
        <c:varyColors val="0"/>
        <c:ser>
          <c:idx val="1"/>
          <c:order val="1"/>
          <c:tx>
            <c:strRef>
              <c:f>'Low Case'!$A$749</c:f>
              <c:strCache>
                <c:ptCount val="1"/>
                <c:pt idx="0">
                  <c:v>Cumuative Cash Generation</c:v>
                </c:pt>
              </c:strCache>
            </c:strRef>
          </c:tx>
          <c:spPr>
            <a:ln w="28575">
              <a:solidFill>
                <a:srgbClr val="00FF00"/>
              </a:solidFill>
            </a:ln>
          </c:spPr>
          <c:marker>
            <c:symbol val="none"/>
          </c:marker>
          <c:cat>
            <c:numRef>
              <c:f>'Expected NPV &amp; Common Data'!$D$36:$AD$36</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'Low Case'!$D$749:$AD$749</c:f>
              <c:numCache>
                <c:formatCode>#,##0_);[Red]\(#,##0\)</c:formatCode>
                <c:ptCount val="27"/>
                <c:pt idx="0">
                  <c:v>-257.27999999999997</c:v>
                </c:pt>
                <c:pt idx="1">
                  <c:v>-950.73</c:v>
                </c:pt>
                <c:pt idx="2">
                  <c:v>-1032.6885132155185</c:v>
                </c:pt>
                <c:pt idx="3">
                  <c:v>-876.94780176364918</c:v>
                </c:pt>
                <c:pt idx="4">
                  <c:v>-762.83885738832532</c:v>
                </c:pt>
                <c:pt idx="5">
                  <c:v>-660.42704820067013</c:v>
                </c:pt>
                <c:pt idx="6">
                  <c:v>-591.77225821541674</c:v>
                </c:pt>
                <c:pt idx="7">
                  <c:v>-579.58322893200386</c:v>
                </c:pt>
                <c:pt idx="8">
                  <c:v>-605.81914663677401</c:v>
                </c:pt>
                <c:pt idx="9">
                  <c:v>-651.00600430040242</c:v>
                </c:pt>
                <c:pt idx="10">
                  <c:v>-686.16124050515668</c:v>
                </c:pt>
                <c:pt idx="11">
                  <c:v>-723.04019021295596</c:v>
                </c:pt>
                <c:pt idx="12">
                  <c:v>-729.35363605926102</c:v>
                </c:pt>
                <c:pt idx="13">
                  <c:v>-729.05515958410444</c:v>
                </c:pt>
                <c:pt idx="14">
                  <c:v>-732.18229697468644</c:v>
                </c:pt>
                <c:pt idx="15">
                  <c:v>-692.27834583241793</c:v>
                </c:pt>
                <c:pt idx="16">
                  <c:v>-630.89178310235059</c:v>
                </c:pt>
                <c:pt idx="17">
                  <c:v>-630.89178310235059</c:v>
                </c:pt>
                <c:pt idx="18">
                  <c:v>-630.89178310235059</c:v>
                </c:pt>
                <c:pt idx="19">
                  <c:v>-630.89178310235059</c:v>
                </c:pt>
                <c:pt idx="20">
                  <c:v>-630.89178310235059</c:v>
                </c:pt>
                <c:pt idx="21">
                  <c:v>-630.89178310235059</c:v>
                </c:pt>
                <c:pt idx="22">
                  <c:v>-630.89178310235059</c:v>
                </c:pt>
                <c:pt idx="23">
                  <c:v>-630.89178310235059</c:v>
                </c:pt>
                <c:pt idx="24">
                  <c:v>-630.89178310235059</c:v>
                </c:pt>
                <c:pt idx="25">
                  <c:v>-630.89178310235059</c:v>
                </c:pt>
                <c:pt idx="26">
                  <c:v>-630.89178310235059</c:v>
                </c:pt>
              </c:numCache>
            </c:numRef>
          </c:val>
          <c:smooth val="0"/>
          <c:extLst>
            <c:ext xmlns:c16="http://schemas.microsoft.com/office/drawing/2014/chart" uri="{C3380CC4-5D6E-409C-BE32-E72D297353CC}">
              <c16:uniqueId val="{00000001-52D5-4C2D-8756-D44C03D4E08B}"/>
            </c:ext>
          </c:extLst>
        </c:ser>
        <c:dLbls>
          <c:showLegendKey val="0"/>
          <c:showVal val="0"/>
          <c:showCatName val="0"/>
          <c:showSerName val="0"/>
          <c:showPercent val="0"/>
          <c:showBubbleSize val="0"/>
        </c:dLbls>
        <c:marker val="1"/>
        <c:smooth val="0"/>
        <c:axId val="371322096"/>
        <c:axId val="371323272"/>
      </c:lineChart>
      <c:catAx>
        <c:axId val="371322096"/>
        <c:scaling>
          <c:orientation val="minMax"/>
        </c:scaling>
        <c:delete val="0"/>
        <c:axPos val="b"/>
        <c:numFmt formatCode="0" sourceLinked="1"/>
        <c:majorTickMark val="out"/>
        <c:minorTickMark val="none"/>
        <c:tickLblPos val="nextTo"/>
        <c:txPr>
          <a:bodyPr/>
          <a:lstStyle/>
          <a:p>
            <a:pPr>
              <a:defRPr sz="1050" b="0"/>
            </a:pPr>
            <a:endParaRPr lang="en-US"/>
          </a:p>
        </c:txPr>
        <c:crossAx val="371323272"/>
        <c:crosses val="autoZero"/>
        <c:auto val="1"/>
        <c:lblAlgn val="ctr"/>
        <c:lblOffset val="100"/>
        <c:noMultiLvlLbl val="0"/>
      </c:catAx>
      <c:valAx>
        <c:axId val="371323272"/>
        <c:scaling>
          <c:orientation val="minMax"/>
          <c:max val="3000"/>
          <c:min val="-1000"/>
        </c:scaling>
        <c:delete val="0"/>
        <c:axPos val="l"/>
        <c:majorGridlines/>
        <c:title>
          <c:tx>
            <c:rich>
              <a:bodyPr rot="-5400000" vert="horz"/>
              <a:lstStyle/>
              <a:p>
                <a:pPr>
                  <a:defRPr sz="1200" b="0">
                    <a:solidFill>
                      <a:srgbClr val="00B050"/>
                    </a:solidFill>
                  </a:defRPr>
                </a:pPr>
                <a:r>
                  <a:rPr lang="en-US" sz="1200" b="0">
                    <a:solidFill>
                      <a:srgbClr val="00B050"/>
                    </a:solidFill>
                  </a:rPr>
                  <a:t>US$ Millions Real</a:t>
                </a:r>
              </a:p>
            </c:rich>
          </c:tx>
          <c:layout>
            <c:manualLayout>
              <c:xMode val="edge"/>
              <c:yMode val="edge"/>
              <c:x val="5.8229665952706734E-4"/>
              <c:y val="0.18208953047535728"/>
            </c:manualLayout>
          </c:layout>
          <c:overlay val="0"/>
        </c:title>
        <c:numFmt formatCode="#,##0" sourceLinked="0"/>
        <c:majorTickMark val="out"/>
        <c:minorTickMark val="none"/>
        <c:tickLblPos val="nextTo"/>
        <c:txPr>
          <a:bodyPr/>
          <a:lstStyle/>
          <a:p>
            <a:pPr>
              <a:defRPr sz="1000" b="0">
                <a:solidFill>
                  <a:srgbClr val="00B050"/>
                </a:solidFill>
              </a:defRPr>
            </a:pPr>
            <a:endParaRPr lang="en-US"/>
          </a:p>
        </c:txPr>
        <c:crossAx val="371322096"/>
        <c:crosses val="autoZero"/>
        <c:crossBetween val="between"/>
      </c:valAx>
    </c:plotArea>
    <c:legend>
      <c:legendPos val="b"/>
      <c:layout>
        <c:manualLayout>
          <c:xMode val="edge"/>
          <c:yMode val="edge"/>
          <c:x val="2.3239789831465876E-2"/>
          <c:y val="0.81995028241624546"/>
          <c:w val="0.94215320487536447"/>
          <c:h val="0.15773115274356075"/>
        </c:manualLayout>
      </c:layout>
      <c:overlay val="0"/>
      <c:txPr>
        <a:bodyPr/>
        <a:lstStyle/>
        <a:p>
          <a:pPr>
            <a:defRPr sz="1000" b="0"/>
          </a:pPr>
          <a:endParaRPr lang="en-US"/>
        </a:p>
      </c:txPr>
    </c:legend>
    <c:plotVisOnly val="1"/>
    <c:dispBlanksAs val="gap"/>
    <c:showDLblsOverMax val="0"/>
  </c:chart>
  <c:txPr>
    <a:bodyPr/>
    <a:lstStyle/>
    <a:p>
      <a:pPr algn="ctr">
        <a:defRPr lang="en-AU" sz="1600" b="1" i="0" u="none" strike="noStrike" kern="1200" baseline="0">
          <a:solidFill>
            <a:sysClr val="windowText" lastClr="000000"/>
          </a:solidFill>
          <a:latin typeface="+mn-lt"/>
          <a:ea typeface="+mn-ea"/>
          <a:cs typeface="+mn-cs"/>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Four Cash Streams - </a:t>
            </a:r>
            <a:r>
              <a:rPr lang="en-US" sz="1600" b="0"/>
              <a:t>high case</a:t>
            </a:r>
          </a:p>
        </c:rich>
      </c:tx>
      <c:layout>
        <c:manualLayout>
          <c:xMode val="edge"/>
          <c:yMode val="edge"/>
          <c:x val="0.29349411746585669"/>
          <c:y val="0"/>
        </c:manualLayout>
      </c:layout>
      <c:overlay val="1"/>
    </c:title>
    <c:autoTitleDeleted val="0"/>
    <c:plotArea>
      <c:layout>
        <c:manualLayout>
          <c:layoutTarget val="inner"/>
          <c:xMode val="edge"/>
          <c:yMode val="edge"/>
          <c:x val="0.12380399637186569"/>
          <c:y val="0.11916846903789058"/>
          <c:w val="0.85180259084941345"/>
          <c:h val="0.72124088556519828"/>
        </c:manualLayout>
      </c:layout>
      <c:barChart>
        <c:barDir val="col"/>
        <c:grouping val="stacked"/>
        <c:varyColors val="0"/>
        <c:ser>
          <c:idx val="0"/>
          <c:order val="0"/>
          <c:tx>
            <c:strRef>
              <c:f>'High Case'!$A$766</c:f>
              <c:strCache>
                <c:ptCount val="1"/>
                <c:pt idx="0">
                  <c:v>Cashstream 2: Capital Costs - High Case</c:v>
                </c:pt>
              </c:strCache>
            </c:strRef>
          </c:tx>
          <c:spPr>
            <a:solidFill>
              <a:srgbClr val="00B0F0"/>
            </a:solidFill>
            <a:ln>
              <a:noFill/>
            </a:ln>
          </c:spPr>
          <c:invertIfNegative val="0"/>
          <c:cat>
            <c:numRef>
              <c:f>'Expected NPV &amp; Common Data'!$D$36:$AD$36</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'High Case'!$D$766:$AD$766</c:f>
              <c:numCache>
                <c:formatCode>#,##0</c:formatCode>
                <c:ptCount val="27"/>
                <c:pt idx="0">
                  <c:v>-238.5</c:v>
                </c:pt>
                <c:pt idx="1">
                  <c:v>-450</c:v>
                </c:pt>
                <c:pt idx="2">
                  <c:v>-79.056000000000012</c:v>
                </c:pt>
                <c:pt idx="3">
                  <c:v>-22.356000000000002</c:v>
                </c:pt>
                <c:pt idx="4">
                  <c:v>-22.356000000000002</c:v>
                </c:pt>
                <c:pt idx="5">
                  <c:v>-44.856000000000002</c:v>
                </c:pt>
                <c:pt idx="6">
                  <c:v>-22.356000000000002</c:v>
                </c:pt>
                <c:pt idx="7">
                  <c:v>-22.356000000000002</c:v>
                </c:pt>
                <c:pt idx="8">
                  <c:v>-22.356000000000002</c:v>
                </c:pt>
                <c:pt idx="9">
                  <c:v>-40.356000000000002</c:v>
                </c:pt>
                <c:pt idx="10">
                  <c:v>-22.356000000000002</c:v>
                </c:pt>
                <c:pt idx="11">
                  <c:v>-22.356000000000002</c:v>
                </c:pt>
                <c:pt idx="12">
                  <c:v>-22.356000000000002</c:v>
                </c:pt>
                <c:pt idx="13">
                  <c:v>-35.856000000000002</c:v>
                </c:pt>
                <c:pt idx="14">
                  <c:v>-22.356000000000002</c:v>
                </c:pt>
                <c:pt idx="15">
                  <c:v>-22.356000000000002</c:v>
                </c:pt>
                <c:pt idx="16">
                  <c:v>-22.356000000000002</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0-4E19-4E1D-B66D-2A4111719A90}"/>
            </c:ext>
          </c:extLst>
        </c:ser>
        <c:ser>
          <c:idx val="1"/>
          <c:order val="1"/>
          <c:tx>
            <c:strRef>
              <c:f>'High Case'!$A$767</c:f>
              <c:strCache>
                <c:ptCount val="1"/>
                <c:pt idx="0">
                  <c:v>Cashstream 3: Operating Costs - High Case</c:v>
                </c:pt>
              </c:strCache>
            </c:strRef>
          </c:tx>
          <c:spPr>
            <a:solidFill>
              <a:srgbClr val="FFFF00"/>
            </a:solidFill>
            <a:ln>
              <a:noFill/>
            </a:ln>
          </c:spPr>
          <c:invertIfNegative val="0"/>
          <c:cat>
            <c:numRef>
              <c:f>'Expected NPV &amp; Common Data'!$D$36:$AD$36</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'High Case'!$D$767:$AD$767</c:f>
              <c:numCache>
                <c:formatCode>#,##0</c:formatCode>
                <c:ptCount val="27"/>
                <c:pt idx="0">
                  <c:v>-3.42</c:v>
                </c:pt>
                <c:pt idx="1">
                  <c:v>-127.44000000000003</c:v>
                </c:pt>
                <c:pt idx="2">
                  <c:v>-250.93580605459056</c:v>
                </c:pt>
                <c:pt idx="3">
                  <c:v>-290.66619849274497</c:v>
                </c:pt>
                <c:pt idx="4">
                  <c:v>-373.30840250885632</c:v>
                </c:pt>
                <c:pt idx="5">
                  <c:v>-376.45497385476597</c:v>
                </c:pt>
                <c:pt idx="6">
                  <c:v>-484.3793056230092</c:v>
                </c:pt>
                <c:pt idx="7">
                  <c:v>-480.38422241584703</c:v>
                </c:pt>
                <c:pt idx="8">
                  <c:v>-488.56826392936637</c:v>
                </c:pt>
                <c:pt idx="9">
                  <c:v>-493.06087586250243</c:v>
                </c:pt>
                <c:pt idx="10">
                  <c:v>-497.55427616482251</c:v>
                </c:pt>
                <c:pt idx="11">
                  <c:v>-502.0485104701657</c:v>
                </c:pt>
                <c:pt idx="12">
                  <c:v>-506.10797766464987</c:v>
                </c:pt>
                <c:pt idx="13">
                  <c:v>-421.12096527945818</c:v>
                </c:pt>
                <c:pt idx="14">
                  <c:v>-424.41560375811559</c:v>
                </c:pt>
                <c:pt idx="15">
                  <c:v>-368.33847387311624</c:v>
                </c:pt>
                <c:pt idx="16">
                  <c:v>-483.71057250347832</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1-4E19-4E1D-B66D-2A4111719A90}"/>
            </c:ext>
          </c:extLst>
        </c:ser>
        <c:ser>
          <c:idx val="2"/>
          <c:order val="2"/>
          <c:tx>
            <c:strRef>
              <c:f>'High Case'!$A$768</c:f>
              <c:strCache>
                <c:ptCount val="1"/>
                <c:pt idx="0">
                  <c:v>Cashstream 4: Taxes - High Case</c:v>
                </c:pt>
              </c:strCache>
            </c:strRef>
          </c:tx>
          <c:spPr>
            <a:solidFill>
              <a:srgbClr val="FF0000"/>
            </a:solidFill>
            <a:ln>
              <a:noFill/>
            </a:ln>
          </c:spPr>
          <c:invertIfNegative val="0"/>
          <c:cat>
            <c:numRef>
              <c:f>'Expected NPV &amp; Common Data'!$D$36:$AD$36</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'High Case'!$D$768:$AD$768</c:f>
              <c:numCache>
                <c:formatCode>#,##0</c:formatCode>
                <c:ptCount val="27"/>
                <c:pt idx="0">
                  <c:v>0</c:v>
                </c:pt>
                <c:pt idx="1">
                  <c:v>0</c:v>
                </c:pt>
                <c:pt idx="2">
                  <c:v>-42.944090426554794</c:v>
                </c:pt>
                <c:pt idx="3">
                  <c:v>-128.07933413268987</c:v>
                </c:pt>
                <c:pt idx="4">
                  <c:v>-187.44474725384279</c:v>
                </c:pt>
                <c:pt idx="5">
                  <c:v>-192.84573805640659</c:v>
                </c:pt>
                <c:pt idx="6">
                  <c:v>-181.56184801714312</c:v>
                </c:pt>
                <c:pt idx="7">
                  <c:v>-147.2338159709044</c:v>
                </c:pt>
                <c:pt idx="8">
                  <c:v>-128.6030871919875</c:v>
                </c:pt>
                <c:pt idx="9">
                  <c:v>-125.36632258142454</c:v>
                </c:pt>
                <c:pt idx="10">
                  <c:v>-125.34257693160457</c:v>
                </c:pt>
                <c:pt idx="11">
                  <c:v>-124.98981679752539</c:v>
                </c:pt>
                <c:pt idx="12">
                  <c:v>-132.28976444514109</c:v>
                </c:pt>
                <c:pt idx="13">
                  <c:v>-118.16643824446992</c:v>
                </c:pt>
                <c:pt idx="14">
                  <c:v>-116.24158144526774</c:v>
                </c:pt>
                <c:pt idx="15">
                  <c:v>-130.57039275902648</c:v>
                </c:pt>
                <c:pt idx="16">
                  <c:v>-140.81304975377034</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2-4E19-4E1D-B66D-2A4111719A90}"/>
            </c:ext>
          </c:extLst>
        </c:ser>
        <c:ser>
          <c:idx val="3"/>
          <c:order val="3"/>
          <c:tx>
            <c:strRef>
              <c:f>'High Case'!$A$769</c:f>
              <c:strCache>
                <c:ptCount val="1"/>
                <c:pt idx="0">
                  <c:v>Cashflow if positive</c:v>
                </c:pt>
              </c:strCache>
            </c:strRef>
          </c:tx>
          <c:spPr>
            <a:solidFill>
              <a:srgbClr val="33CC33"/>
            </a:solidFill>
            <a:ln>
              <a:noFill/>
            </a:ln>
          </c:spPr>
          <c:invertIfNegative val="0"/>
          <c:cat>
            <c:numRef>
              <c:f>'Expected NPV &amp; Common Data'!$D$36:$AD$36</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'High Case'!$D$769:$AD$769</c:f>
              <c:numCache>
                <c:formatCode>#,##0</c:formatCode>
                <c:ptCount val="27"/>
                <c:pt idx="0">
                  <c:v>0</c:v>
                </c:pt>
                <c:pt idx="1">
                  <c:v>0</c:v>
                </c:pt>
                <c:pt idx="2">
                  <c:v>93.760992709346283</c:v>
                </c:pt>
                <c:pt idx="3">
                  <c:v>441.26933093128264</c:v>
                </c:pt>
                <c:pt idx="4">
                  <c:v>393.29937686806022</c:v>
                </c:pt>
                <c:pt idx="5">
                  <c:v>367.67472684351844</c:v>
                </c:pt>
                <c:pt idx="6">
                  <c:v>325.35452755934483</c:v>
                </c:pt>
                <c:pt idx="7">
                  <c:v>250.32367414431872</c:v>
                </c:pt>
                <c:pt idx="8">
                  <c:v>191.18466876145746</c:v>
                </c:pt>
                <c:pt idx="9">
                  <c:v>157.79100136292652</c:v>
                </c:pt>
                <c:pt idx="10">
                  <c:v>170.52986863478588</c:v>
                </c:pt>
                <c:pt idx="11">
                  <c:v>166.38839446352188</c:v>
                </c:pt>
                <c:pt idx="12">
                  <c:v>179.58491552037464</c:v>
                </c:pt>
                <c:pt idx="13">
                  <c:v>157.40896526818415</c:v>
                </c:pt>
                <c:pt idx="14">
                  <c:v>155.35299149718406</c:v>
                </c:pt>
                <c:pt idx="15">
                  <c:v>196.71294352412858</c:v>
                </c:pt>
                <c:pt idx="16">
                  <c:v>337.21904640531193</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3-4E19-4E1D-B66D-2A4111719A90}"/>
            </c:ext>
          </c:extLst>
        </c:ser>
        <c:ser>
          <c:idx val="4"/>
          <c:order val="4"/>
          <c:tx>
            <c:strRef>
              <c:f>'High Case'!$A$770</c:f>
              <c:strCache>
                <c:ptCount val="1"/>
                <c:pt idx="0">
                  <c:v>Cashflow Deficit</c:v>
                </c:pt>
              </c:strCache>
            </c:strRef>
          </c:tx>
          <c:spPr>
            <a:noFill/>
            <a:ln w="34925">
              <a:solidFill>
                <a:srgbClr val="FF99FF"/>
              </a:solidFill>
              <a:prstDash val="dash"/>
            </a:ln>
          </c:spPr>
          <c:invertIfNegative val="0"/>
          <c:cat>
            <c:numRef>
              <c:f>'Expected NPV &amp; Common Data'!$D$36:$AD$36</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'High Case'!$D$770:$AD$770</c:f>
              <c:numCache>
                <c:formatCode>#,##0</c:formatCode>
                <c:ptCount val="27"/>
                <c:pt idx="0">
                  <c:v>241.92</c:v>
                </c:pt>
                <c:pt idx="1">
                  <c:v>577.44000000000005</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4-4E19-4E1D-B66D-2A4111719A90}"/>
            </c:ext>
          </c:extLst>
        </c:ser>
        <c:dLbls>
          <c:showLegendKey val="0"/>
          <c:showVal val="0"/>
          <c:showCatName val="0"/>
          <c:showSerName val="0"/>
          <c:showPercent val="0"/>
          <c:showBubbleSize val="0"/>
        </c:dLbls>
        <c:gapWidth val="0"/>
        <c:overlap val="100"/>
        <c:axId val="371323664"/>
        <c:axId val="371324840"/>
      </c:barChart>
      <c:catAx>
        <c:axId val="371323664"/>
        <c:scaling>
          <c:orientation val="minMax"/>
        </c:scaling>
        <c:delete val="0"/>
        <c:axPos val="b"/>
        <c:numFmt formatCode="0" sourceLinked="1"/>
        <c:majorTickMark val="out"/>
        <c:minorTickMark val="none"/>
        <c:tickLblPos val="nextTo"/>
        <c:txPr>
          <a:bodyPr/>
          <a:lstStyle/>
          <a:p>
            <a:pPr>
              <a:defRPr sz="1000"/>
            </a:pPr>
            <a:endParaRPr lang="en-US"/>
          </a:p>
        </c:txPr>
        <c:crossAx val="371324840"/>
        <c:crosses val="autoZero"/>
        <c:auto val="1"/>
        <c:lblAlgn val="ctr"/>
        <c:lblOffset val="100"/>
        <c:noMultiLvlLbl val="0"/>
      </c:catAx>
      <c:valAx>
        <c:axId val="371324840"/>
        <c:scaling>
          <c:orientation val="minMax"/>
        </c:scaling>
        <c:delete val="0"/>
        <c:axPos val="l"/>
        <c:majorGridlines/>
        <c:title>
          <c:tx>
            <c:rich>
              <a:bodyPr rot="-5400000" vert="horz"/>
              <a:lstStyle/>
              <a:p>
                <a:pPr>
                  <a:defRPr sz="1200" b="1"/>
                </a:pPr>
                <a:r>
                  <a:rPr lang="en-US" sz="1200" b="1"/>
                  <a:t>US$ millions Real</a:t>
                </a:r>
              </a:p>
            </c:rich>
          </c:tx>
          <c:layout>
            <c:manualLayout>
              <c:xMode val="edge"/>
              <c:yMode val="edge"/>
              <c:x val="1.2832939907668773E-2"/>
              <c:y val="0.21479721712868088"/>
            </c:manualLayout>
          </c:layout>
          <c:overlay val="0"/>
        </c:title>
        <c:numFmt formatCode="#,##0" sourceLinked="0"/>
        <c:majorTickMark val="out"/>
        <c:minorTickMark val="none"/>
        <c:tickLblPos val="nextTo"/>
        <c:txPr>
          <a:bodyPr/>
          <a:lstStyle/>
          <a:p>
            <a:pPr>
              <a:defRPr sz="1000" b="0" baseline="0"/>
            </a:pPr>
            <a:endParaRPr lang="en-US"/>
          </a:p>
        </c:txPr>
        <c:crossAx val="371323664"/>
        <c:crosses val="autoZero"/>
        <c:crossBetween val="between"/>
      </c:valAx>
    </c:plotArea>
    <c:legend>
      <c:legendPos val="b"/>
      <c:legendEntry>
        <c:idx val="2"/>
        <c:txPr>
          <a:bodyPr/>
          <a:lstStyle/>
          <a:p>
            <a:pPr>
              <a:defRPr sz="1000" b="0"/>
            </a:pPr>
            <a:endParaRPr lang="en-US"/>
          </a:p>
        </c:txPr>
      </c:legendEntry>
      <c:layout>
        <c:manualLayout>
          <c:xMode val="edge"/>
          <c:yMode val="edge"/>
          <c:x val="2.5109279334459963E-3"/>
          <c:y val="0.78795353621601616"/>
          <c:w val="0.99042838483052742"/>
          <c:h val="0.19085690304973604"/>
        </c:manualLayout>
      </c:layout>
      <c:overlay val="0"/>
      <c:spPr>
        <a:solidFill>
          <a:schemeClr val="bg1"/>
        </a:solidFill>
      </c:spPr>
      <c:txPr>
        <a:bodyPr/>
        <a:lstStyle/>
        <a:p>
          <a:pPr>
            <a:defRPr sz="1000" b="0"/>
          </a:pPr>
          <a:endParaRPr lang="en-US"/>
        </a:p>
      </c:txPr>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600" b="1" i="0" u="none" strike="noStrike" kern="1200" baseline="0">
                <a:solidFill>
                  <a:sysClr val="windowText" lastClr="000000"/>
                </a:solidFill>
                <a:latin typeface="+mn-lt"/>
                <a:ea typeface="+mn-ea"/>
                <a:cs typeface="+mn-cs"/>
              </a:defRPr>
            </a:pPr>
            <a:r>
              <a:rPr lang="en-US" sz="1600" b="1" i="0" u="none" strike="noStrike" kern="1200" baseline="0">
                <a:solidFill>
                  <a:sysClr val="windowText" lastClr="000000"/>
                </a:solidFill>
                <a:latin typeface="+mn-lt"/>
                <a:ea typeface="+mn-ea"/>
                <a:cs typeface="+mn-cs"/>
              </a:rPr>
              <a:t>Mining</a:t>
            </a:r>
          </a:p>
        </c:rich>
      </c:tx>
      <c:layout>
        <c:manualLayout>
          <c:xMode val="edge"/>
          <c:yMode val="edge"/>
          <c:x val="0.22086087156496795"/>
          <c:y val="8.2558487528508318E-5"/>
        </c:manualLayout>
      </c:layout>
      <c:overlay val="1"/>
    </c:title>
    <c:autoTitleDeleted val="0"/>
    <c:plotArea>
      <c:layout>
        <c:manualLayout>
          <c:layoutTarget val="inner"/>
          <c:xMode val="edge"/>
          <c:yMode val="edge"/>
          <c:x val="0.16228495070978013"/>
          <c:y val="8.7811106397508457E-2"/>
          <c:w val="0.80360212962909361"/>
          <c:h val="0.5705398293103271"/>
        </c:manualLayout>
      </c:layout>
      <c:barChart>
        <c:barDir val="col"/>
        <c:grouping val="stacked"/>
        <c:varyColors val="0"/>
        <c:ser>
          <c:idx val="4"/>
          <c:order val="0"/>
          <c:tx>
            <c:strRef>
              <c:f>'High Case'!$A$117</c:f>
              <c:strCache>
                <c:ptCount val="1"/>
                <c:pt idx="0">
                  <c:v>Ore mined - Alpha Pit</c:v>
                </c:pt>
              </c:strCache>
            </c:strRef>
          </c:tx>
          <c:spPr>
            <a:solidFill>
              <a:schemeClr val="accent6">
                <a:lumMod val="75000"/>
              </a:schemeClr>
            </a:solidFill>
            <a:ln>
              <a:noFill/>
            </a:ln>
          </c:spPr>
          <c:invertIfNegative val="0"/>
          <c:cat>
            <c:numRef>
              <c:f>'High Case'!$D$94:$AD$94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'High Case'!$D$117:$AD$117</c:f>
              <c:numCache>
                <c:formatCode>#,##0.0</c:formatCode>
                <c:ptCount val="27"/>
                <c:pt idx="2">
                  <c:v>6</c:v>
                </c:pt>
                <c:pt idx="3">
                  <c:v>8</c:v>
                </c:pt>
                <c:pt idx="4">
                  <c:v>8</c:v>
                </c:pt>
                <c:pt idx="5">
                  <c:v>8</c:v>
                </c:pt>
                <c:pt idx="6">
                  <c:v>8</c:v>
                </c:pt>
                <c:pt idx="7">
                  <c:v>5</c:v>
                </c:pt>
                <c:pt idx="8">
                  <c:v>3</c:v>
                </c:pt>
                <c:pt idx="9">
                  <c:v>3</c:v>
                </c:pt>
                <c:pt idx="10">
                  <c:v>3</c:v>
                </c:pt>
                <c:pt idx="11">
                  <c:v>3</c:v>
                </c:pt>
                <c:pt idx="12">
                  <c:v>3</c:v>
                </c:pt>
              </c:numCache>
            </c:numRef>
          </c:val>
          <c:extLst>
            <c:ext xmlns:c16="http://schemas.microsoft.com/office/drawing/2014/chart" uri="{C3380CC4-5D6E-409C-BE32-E72D297353CC}">
              <c16:uniqueId val="{00000000-41FB-4AD9-A6E9-C9252A46337A}"/>
            </c:ext>
          </c:extLst>
        </c:ser>
        <c:ser>
          <c:idx val="2"/>
          <c:order val="1"/>
          <c:tx>
            <c:strRef>
              <c:f>'High Case'!$A$130</c:f>
              <c:strCache>
                <c:ptCount val="1"/>
                <c:pt idx="0">
                  <c:v>Ore mined - Beta Pit</c:v>
                </c:pt>
              </c:strCache>
            </c:strRef>
          </c:tx>
          <c:spPr>
            <a:solidFill>
              <a:schemeClr val="accent4">
                <a:lumMod val="75000"/>
              </a:schemeClr>
            </a:solidFill>
          </c:spPr>
          <c:invertIfNegative val="0"/>
          <c:val>
            <c:numRef>
              <c:f>'High Case'!$D$130:$AD$130</c:f>
              <c:numCache>
                <c:formatCode>#,##0.0</c:formatCode>
                <c:ptCount val="27"/>
                <c:pt idx="7">
                  <c:v>3</c:v>
                </c:pt>
                <c:pt idx="8">
                  <c:v>5</c:v>
                </c:pt>
                <c:pt idx="9">
                  <c:v>5</c:v>
                </c:pt>
                <c:pt idx="10">
                  <c:v>5</c:v>
                </c:pt>
                <c:pt idx="11">
                  <c:v>5</c:v>
                </c:pt>
                <c:pt idx="12">
                  <c:v>5</c:v>
                </c:pt>
                <c:pt idx="13">
                  <c:v>8</c:v>
                </c:pt>
                <c:pt idx="14">
                  <c:v>8</c:v>
                </c:pt>
                <c:pt idx="15">
                  <c:v>8</c:v>
                </c:pt>
                <c:pt idx="16">
                  <c:v>8</c:v>
                </c:pt>
                <c:pt idx="17">
                  <c:v>0</c:v>
                </c:pt>
                <c:pt idx="18">
                  <c:v>0</c:v>
                </c:pt>
                <c:pt idx="19">
                  <c:v>0</c:v>
                </c:pt>
                <c:pt idx="20">
                  <c:v>0</c:v>
                </c:pt>
                <c:pt idx="21">
                  <c:v>0</c:v>
                </c:pt>
              </c:numCache>
            </c:numRef>
          </c:val>
          <c:extLst>
            <c:ext xmlns:c16="http://schemas.microsoft.com/office/drawing/2014/chart" uri="{C3380CC4-5D6E-409C-BE32-E72D297353CC}">
              <c16:uniqueId val="{00000001-41FB-4AD9-A6E9-C9252A46337A}"/>
            </c:ext>
          </c:extLst>
        </c:ser>
        <c:ser>
          <c:idx val="0"/>
          <c:order val="2"/>
          <c:tx>
            <c:strRef>
              <c:f>'High Case'!$A$116</c:f>
              <c:strCache>
                <c:ptCount val="1"/>
                <c:pt idx="0">
                  <c:v>Waste mined - Alpha Pit</c:v>
                </c:pt>
              </c:strCache>
            </c:strRef>
          </c:tx>
          <c:spPr>
            <a:solidFill>
              <a:schemeClr val="accent6">
                <a:lumMod val="40000"/>
                <a:lumOff val="60000"/>
              </a:schemeClr>
            </a:solidFill>
          </c:spPr>
          <c:invertIfNegative val="0"/>
          <c:val>
            <c:numRef>
              <c:f>'High Case'!$D$116:$AD$116</c:f>
              <c:numCache>
                <c:formatCode>#,##0</c:formatCode>
                <c:ptCount val="27"/>
                <c:pt idx="1">
                  <c:v>37</c:v>
                </c:pt>
                <c:pt idx="2">
                  <c:v>37</c:v>
                </c:pt>
                <c:pt idx="3">
                  <c:v>35</c:v>
                </c:pt>
                <c:pt idx="4">
                  <c:v>60</c:v>
                </c:pt>
                <c:pt idx="5">
                  <c:v>60</c:v>
                </c:pt>
                <c:pt idx="6">
                  <c:v>48</c:v>
                </c:pt>
                <c:pt idx="7">
                  <c:v>38</c:v>
                </c:pt>
                <c:pt idx="8">
                  <c:v>38</c:v>
                </c:pt>
                <c:pt idx="9">
                  <c:v>38</c:v>
                </c:pt>
                <c:pt idx="10">
                  <c:v>38</c:v>
                </c:pt>
                <c:pt idx="11">
                  <c:v>38</c:v>
                </c:pt>
                <c:pt idx="12">
                  <c:v>25</c:v>
                </c:pt>
              </c:numCache>
            </c:numRef>
          </c:val>
          <c:extLst>
            <c:ext xmlns:c16="http://schemas.microsoft.com/office/drawing/2014/chart" uri="{C3380CC4-5D6E-409C-BE32-E72D297353CC}">
              <c16:uniqueId val="{00000002-41FB-4AD9-A6E9-C9252A46337A}"/>
            </c:ext>
          </c:extLst>
        </c:ser>
        <c:ser>
          <c:idx val="1"/>
          <c:order val="3"/>
          <c:tx>
            <c:strRef>
              <c:f>'High Case'!$A$129</c:f>
              <c:strCache>
                <c:ptCount val="1"/>
                <c:pt idx="0">
                  <c:v>Waste mined - Beta Pit</c:v>
                </c:pt>
              </c:strCache>
            </c:strRef>
          </c:tx>
          <c:spPr>
            <a:solidFill>
              <a:schemeClr val="accent4">
                <a:lumMod val="40000"/>
                <a:lumOff val="60000"/>
              </a:schemeClr>
            </a:solidFill>
          </c:spPr>
          <c:invertIfNegative val="0"/>
          <c:val>
            <c:numRef>
              <c:f>'High Case'!$D$129:$AD$129</c:f>
              <c:numCache>
                <c:formatCode>#,##0</c:formatCode>
                <c:ptCount val="27"/>
                <c:pt idx="6">
                  <c:v>42</c:v>
                </c:pt>
                <c:pt idx="7">
                  <c:v>52</c:v>
                </c:pt>
                <c:pt idx="8">
                  <c:v>52</c:v>
                </c:pt>
                <c:pt idx="9">
                  <c:v>52</c:v>
                </c:pt>
                <c:pt idx="10">
                  <c:v>52</c:v>
                </c:pt>
                <c:pt idx="11">
                  <c:v>52</c:v>
                </c:pt>
                <c:pt idx="12">
                  <c:v>65</c:v>
                </c:pt>
                <c:pt idx="13">
                  <c:v>65</c:v>
                </c:pt>
                <c:pt idx="14">
                  <c:v>65</c:v>
                </c:pt>
                <c:pt idx="15">
                  <c:v>50</c:v>
                </c:pt>
              </c:numCache>
            </c:numRef>
          </c:val>
          <c:extLst>
            <c:ext xmlns:c16="http://schemas.microsoft.com/office/drawing/2014/chart" uri="{C3380CC4-5D6E-409C-BE32-E72D297353CC}">
              <c16:uniqueId val="{00000003-41FB-4AD9-A6E9-C9252A46337A}"/>
            </c:ext>
          </c:extLst>
        </c:ser>
        <c:dLbls>
          <c:showLegendKey val="0"/>
          <c:showVal val="0"/>
          <c:showCatName val="0"/>
          <c:showSerName val="0"/>
          <c:showPercent val="0"/>
          <c:showBubbleSize val="0"/>
        </c:dLbls>
        <c:gapWidth val="0"/>
        <c:overlap val="100"/>
        <c:axId val="371322488"/>
        <c:axId val="371325232"/>
      </c:barChart>
      <c:catAx>
        <c:axId val="371322488"/>
        <c:scaling>
          <c:orientation val="minMax"/>
        </c:scaling>
        <c:delete val="0"/>
        <c:axPos val="b"/>
        <c:numFmt formatCode="0" sourceLinked="1"/>
        <c:majorTickMark val="out"/>
        <c:minorTickMark val="none"/>
        <c:tickLblPos val="nextTo"/>
        <c:txPr>
          <a:bodyPr/>
          <a:lstStyle/>
          <a:p>
            <a:pPr algn="ctr">
              <a:defRPr sz="1000"/>
            </a:pPr>
            <a:endParaRPr lang="en-US"/>
          </a:p>
        </c:txPr>
        <c:crossAx val="371325232"/>
        <c:crosses val="autoZero"/>
        <c:auto val="1"/>
        <c:lblAlgn val="ctr"/>
        <c:lblOffset val="100"/>
        <c:noMultiLvlLbl val="0"/>
      </c:catAx>
      <c:valAx>
        <c:axId val="371325232"/>
        <c:scaling>
          <c:orientation val="minMax"/>
        </c:scaling>
        <c:delete val="0"/>
        <c:axPos val="l"/>
        <c:majorGridlines/>
        <c:title>
          <c:tx>
            <c:rich>
              <a:bodyPr rot="-5400000" vert="horz"/>
              <a:lstStyle/>
              <a:p>
                <a:pPr>
                  <a:defRPr sz="1200" b="1"/>
                </a:pPr>
                <a:r>
                  <a:rPr lang="en-US" sz="1200" b="1"/>
                  <a:t>millions tonnes</a:t>
                </a:r>
              </a:p>
            </c:rich>
          </c:tx>
          <c:layout>
            <c:manualLayout>
              <c:xMode val="edge"/>
              <c:yMode val="edge"/>
              <c:x val="2.6048188613101562E-2"/>
              <c:y val="0.27063836471812597"/>
            </c:manualLayout>
          </c:layout>
          <c:overlay val="0"/>
        </c:title>
        <c:numFmt formatCode="#,##0" sourceLinked="0"/>
        <c:majorTickMark val="out"/>
        <c:minorTickMark val="none"/>
        <c:tickLblPos val="nextTo"/>
        <c:txPr>
          <a:bodyPr/>
          <a:lstStyle/>
          <a:p>
            <a:pPr algn="ctr">
              <a:defRPr lang="en-AU" sz="1000" b="0" i="0" u="none" strike="noStrike" kern="1200" baseline="0">
                <a:solidFill>
                  <a:sysClr val="windowText" lastClr="000000"/>
                </a:solidFill>
                <a:latin typeface="+mn-lt"/>
                <a:ea typeface="+mn-ea"/>
                <a:cs typeface="+mn-cs"/>
              </a:defRPr>
            </a:pPr>
            <a:endParaRPr lang="en-US"/>
          </a:p>
        </c:txPr>
        <c:crossAx val="371322488"/>
        <c:crosses val="autoZero"/>
        <c:crossBetween val="between"/>
      </c:valAx>
    </c:plotArea>
    <c:legend>
      <c:legendPos val="b"/>
      <c:layout>
        <c:manualLayout>
          <c:xMode val="edge"/>
          <c:yMode val="edge"/>
          <c:x val="4.9933951645162192E-2"/>
          <c:y val="0.80466000353447098"/>
          <c:w val="0.95006596545588784"/>
          <c:h val="0.14742461431722531"/>
        </c:manualLayout>
      </c:layout>
      <c:overlay val="0"/>
      <c:txPr>
        <a:bodyPr/>
        <a:lstStyle/>
        <a:p>
          <a:pPr>
            <a:defRPr sz="1000"/>
          </a:pPr>
          <a:endParaRPr lang="en-US"/>
        </a:p>
      </c:txPr>
    </c:legend>
    <c:plotVisOnly val="1"/>
    <c:dispBlanksAs val="gap"/>
    <c:showDLblsOverMax val="0"/>
  </c:chart>
  <c:txPr>
    <a:bodyPr/>
    <a:lstStyle/>
    <a:p>
      <a:pPr algn="ctr">
        <a:defRPr lang="en-AU" sz="1400" b="0" i="0" u="none" strike="noStrike" kern="1200" baseline="0">
          <a:solidFill>
            <a:sysClr val="windowText" lastClr="000000"/>
          </a:solidFill>
          <a:latin typeface="+mn-lt"/>
          <a:ea typeface="+mn-ea"/>
          <a:cs typeface="+mn-cs"/>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Cash Generation </a:t>
            </a:r>
            <a:r>
              <a:rPr lang="en-US" sz="1400" b="0"/>
              <a:t>- </a:t>
            </a:r>
            <a:r>
              <a:rPr lang="en-US" sz="1400" b="0">
                <a:solidFill>
                  <a:schemeClr val="accent6">
                    <a:lumMod val="75000"/>
                  </a:schemeClr>
                </a:solidFill>
              </a:rPr>
              <a:t>low case </a:t>
            </a:r>
          </a:p>
        </c:rich>
      </c:tx>
      <c:layout>
        <c:manualLayout>
          <c:xMode val="edge"/>
          <c:yMode val="edge"/>
          <c:x val="0.22192327284108973"/>
          <c:y val="4.3589114853267226E-2"/>
        </c:manualLayout>
      </c:layout>
      <c:overlay val="0"/>
    </c:title>
    <c:autoTitleDeleted val="0"/>
    <c:plotArea>
      <c:layout>
        <c:manualLayout>
          <c:layoutTarget val="inner"/>
          <c:xMode val="edge"/>
          <c:yMode val="edge"/>
          <c:x val="0.15450255000276172"/>
          <c:y val="5.9910251180138693E-2"/>
          <c:w val="0.81359584143953956"/>
          <c:h val="0.76572054335867135"/>
        </c:manualLayout>
      </c:layout>
      <c:barChart>
        <c:barDir val="col"/>
        <c:grouping val="stacked"/>
        <c:varyColors val="0"/>
        <c:ser>
          <c:idx val="0"/>
          <c:order val="0"/>
          <c:tx>
            <c:strRef>
              <c:f>'Low Case'!$A$748</c:f>
              <c:strCache>
                <c:ptCount val="1"/>
                <c:pt idx="0">
                  <c:v>Cash Generation - Low Case</c:v>
                </c:pt>
              </c:strCache>
            </c:strRef>
          </c:tx>
          <c:spPr>
            <a:solidFill>
              <a:schemeClr val="accent3">
                <a:lumMod val="60000"/>
                <a:lumOff val="40000"/>
              </a:schemeClr>
            </a:solidFill>
            <a:ln>
              <a:noFill/>
            </a:ln>
          </c:spPr>
          <c:invertIfNegative val="0"/>
          <c:cat>
            <c:numRef>
              <c:f>'Expected NPV &amp; Common Data'!$D$36:$AD$36</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'Low Case'!$D$748:$AD$748</c:f>
              <c:numCache>
                <c:formatCode>#,##0_);[Red]\(#,##0\)</c:formatCode>
                <c:ptCount val="27"/>
                <c:pt idx="0">
                  <c:v>-257.27999999999997</c:v>
                </c:pt>
                <c:pt idx="1">
                  <c:v>-693.45</c:v>
                </c:pt>
                <c:pt idx="2">
                  <c:v>-81.958513215518508</c:v>
                </c:pt>
                <c:pt idx="3">
                  <c:v>155.74071145186926</c:v>
                </c:pt>
                <c:pt idx="4">
                  <c:v>114.10894437532389</c:v>
                </c:pt>
                <c:pt idx="5">
                  <c:v>102.41180918765519</c:v>
                </c:pt>
                <c:pt idx="6">
                  <c:v>68.654789985253444</c:v>
                </c:pt>
                <c:pt idx="7">
                  <c:v>12.189029283412872</c:v>
                </c:pt>
                <c:pt idx="8">
                  <c:v>-26.235917704770188</c:v>
                </c:pt>
                <c:pt idx="9">
                  <c:v>-45.186857663628402</c:v>
                </c:pt>
                <c:pt idx="10">
                  <c:v>-35.155236204754225</c:v>
                </c:pt>
                <c:pt idx="11">
                  <c:v>-36.878949707799265</c:v>
                </c:pt>
                <c:pt idx="12">
                  <c:v>-6.3134458463050862</c:v>
                </c:pt>
                <c:pt idx="13">
                  <c:v>0.29847647515654785</c:v>
                </c:pt>
                <c:pt idx="14">
                  <c:v>-3.1271373905820035</c:v>
                </c:pt>
                <c:pt idx="15">
                  <c:v>39.903951142268461</c:v>
                </c:pt>
                <c:pt idx="16">
                  <c:v>61.386562730067382</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0-B05B-44A0-8C06-C2E61B6433D0}"/>
            </c:ext>
          </c:extLst>
        </c:ser>
        <c:dLbls>
          <c:showLegendKey val="0"/>
          <c:showVal val="0"/>
          <c:showCatName val="0"/>
          <c:showSerName val="0"/>
          <c:showPercent val="0"/>
          <c:showBubbleSize val="0"/>
        </c:dLbls>
        <c:gapWidth val="0"/>
        <c:overlap val="100"/>
        <c:axId val="371322096"/>
        <c:axId val="371323272"/>
      </c:barChart>
      <c:lineChart>
        <c:grouping val="standard"/>
        <c:varyColors val="0"/>
        <c:ser>
          <c:idx val="1"/>
          <c:order val="1"/>
          <c:tx>
            <c:strRef>
              <c:f>'Low Case'!$A$749</c:f>
              <c:strCache>
                <c:ptCount val="1"/>
                <c:pt idx="0">
                  <c:v>Cumuative Cash Generation</c:v>
                </c:pt>
              </c:strCache>
            </c:strRef>
          </c:tx>
          <c:spPr>
            <a:ln w="28575">
              <a:solidFill>
                <a:schemeClr val="accent3">
                  <a:lumMod val="75000"/>
                </a:schemeClr>
              </a:solidFill>
            </a:ln>
          </c:spPr>
          <c:marker>
            <c:symbol val="none"/>
          </c:marker>
          <c:cat>
            <c:numRef>
              <c:f>'Expected NPV &amp; Common Data'!$D$36:$AD$36</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'Low Case'!$D$749:$AD$749</c:f>
              <c:numCache>
                <c:formatCode>#,##0_);[Red]\(#,##0\)</c:formatCode>
                <c:ptCount val="27"/>
                <c:pt idx="0">
                  <c:v>-257.27999999999997</c:v>
                </c:pt>
                <c:pt idx="1">
                  <c:v>-950.73</c:v>
                </c:pt>
                <c:pt idx="2">
                  <c:v>-1032.6885132155185</c:v>
                </c:pt>
                <c:pt idx="3">
                  <c:v>-876.94780176364918</c:v>
                </c:pt>
                <c:pt idx="4">
                  <c:v>-762.83885738832532</c:v>
                </c:pt>
                <c:pt idx="5">
                  <c:v>-660.42704820067013</c:v>
                </c:pt>
                <c:pt idx="6">
                  <c:v>-591.77225821541674</c:v>
                </c:pt>
                <c:pt idx="7">
                  <c:v>-579.58322893200386</c:v>
                </c:pt>
                <c:pt idx="8">
                  <c:v>-605.81914663677401</c:v>
                </c:pt>
                <c:pt idx="9">
                  <c:v>-651.00600430040242</c:v>
                </c:pt>
                <c:pt idx="10">
                  <c:v>-686.16124050515668</c:v>
                </c:pt>
                <c:pt idx="11">
                  <c:v>-723.04019021295596</c:v>
                </c:pt>
                <c:pt idx="12">
                  <c:v>-729.35363605926102</c:v>
                </c:pt>
                <c:pt idx="13">
                  <c:v>-729.05515958410444</c:v>
                </c:pt>
                <c:pt idx="14">
                  <c:v>-732.18229697468644</c:v>
                </c:pt>
                <c:pt idx="15">
                  <c:v>-692.27834583241793</c:v>
                </c:pt>
                <c:pt idx="16">
                  <c:v>-630.89178310235059</c:v>
                </c:pt>
                <c:pt idx="17">
                  <c:v>-630.89178310235059</c:v>
                </c:pt>
                <c:pt idx="18">
                  <c:v>-630.89178310235059</c:v>
                </c:pt>
                <c:pt idx="19">
                  <c:v>-630.89178310235059</c:v>
                </c:pt>
                <c:pt idx="20">
                  <c:v>-630.89178310235059</c:v>
                </c:pt>
                <c:pt idx="21">
                  <c:v>-630.89178310235059</c:v>
                </c:pt>
                <c:pt idx="22">
                  <c:v>-630.89178310235059</c:v>
                </c:pt>
                <c:pt idx="23">
                  <c:v>-630.89178310235059</c:v>
                </c:pt>
                <c:pt idx="24">
                  <c:v>-630.89178310235059</c:v>
                </c:pt>
                <c:pt idx="25">
                  <c:v>-630.89178310235059</c:v>
                </c:pt>
                <c:pt idx="26">
                  <c:v>-630.89178310235059</c:v>
                </c:pt>
              </c:numCache>
            </c:numRef>
          </c:val>
          <c:smooth val="0"/>
          <c:extLst>
            <c:ext xmlns:c16="http://schemas.microsoft.com/office/drawing/2014/chart" uri="{C3380CC4-5D6E-409C-BE32-E72D297353CC}">
              <c16:uniqueId val="{00000001-B05B-44A0-8C06-C2E61B6433D0}"/>
            </c:ext>
          </c:extLst>
        </c:ser>
        <c:dLbls>
          <c:showLegendKey val="0"/>
          <c:showVal val="0"/>
          <c:showCatName val="0"/>
          <c:showSerName val="0"/>
          <c:showPercent val="0"/>
          <c:showBubbleSize val="0"/>
        </c:dLbls>
        <c:marker val="1"/>
        <c:smooth val="0"/>
        <c:axId val="371322096"/>
        <c:axId val="371323272"/>
      </c:lineChart>
      <c:catAx>
        <c:axId val="371322096"/>
        <c:scaling>
          <c:orientation val="minMax"/>
        </c:scaling>
        <c:delete val="0"/>
        <c:axPos val="b"/>
        <c:numFmt formatCode="0" sourceLinked="1"/>
        <c:majorTickMark val="out"/>
        <c:minorTickMark val="none"/>
        <c:tickLblPos val="nextTo"/>
        <c:txPr>
          <a:bodyPr/>
          <a:lstStyle/>
          <a:p>
            <a:pPr>
              <a:defRPr sz="900" b="0"/>
            </a:pPr>
            <a:endParaRPr lang="en-US"/>
          </a:p>
        </c:txPr>
        <c:crossAx val="371323272"/>
        <c:crosses val="autoZero"/>
        <c:auto val="1"/>
        <c:lblAlgn val="ctr"/>
        <c:lblOffset val="100"/>
        <c:noMultiLvlLbl val="0"/>
      </c:catAx>
      <c:valAx>
        <c:axId val="371323272"/>
        <c:scaling>
          <c:orientation val="minMax"/>
          <c:max val="3000"/>
          <c:min val="-1000"/>
        </c:scaling>
        <c:delete val="0"/>
        <c:axPos val="l"/>
        <c:majorGridlines/>
        <c:title>
          <c:tx>
            <c:rich>
              <a:bodyPr rot="-5400000" vert="horz"/>
              <a:lstStyle/>
              <a:p>
                <a:pPr>
                  <a:defRPr sz="1100" b="0">
                    <a:solidFill>
                      <a:srgbClr val="00B050"/>
                    </a:solidFill>
                  </a:defRPr>
                </a:pPr>
                <a:r>
                  <a:rPr lang="en-US" sz="1100" b="0">
                    <a:solidFill>
                      <a:srgbClr val="00B050"/>
                    </a:solidFill>
                  </a:rPr>
                  <a:t>US$ Millions Real</a:t>
                </a:r>
              </a:p>
            </c:rich>
          </c:tx>
          <c:layout>
            <c:manualLayout>
              <c:xMode val="edge"/>
              <c:yMode val="edge"/>
              <c:x val="5.8229665952706734E-4"/>
              <c:y val="0.18208953047535728"/>
            </c:manualLayout>
          </c:layout>
          <c:overlay val="0"/>
        </c:title>
        <c:numFmt formatCode="#,##0" sourceLinked="0"/>
        <c:majorTickMark val="out"/>
        <c:minorTickMark val="none"/>
        <c:tickLblPos val="nextTo"/>
        <c:txPr>
          <a:bodyPr/>
          <a:lstStyle/>
          <a:p>
            <a:pPr>
              <a:defRPr sz="1000" b="0">
                <a:solidFill>
                  <a:srgbClr val="00B050"/>
                </a:solidFill>
              </a:defRPr>
            </a:pPr>
            <a:endParaRPr lang="en-US"/>
          </a:p>
        </c:txPr>
        <c:crossAx val="371322096"/>
        <c:crosses val="autoZero"/>
        <c:crossBetween val="between"/>
      </c:valAx>
    </c:plotArea>
    <c:legend>
      <c:legendPos val="b"/>
      <c:layout>
        <c:manualLayout>
          <c:xMode val="edge"/>
          <c:yMode val="edge"/>
          <c:x val="2.3239789831465876E-2"/>
          <c:y val="0.81995028241624546"/>
          <c:w val="0.94215320487536447"/>
          <c:h val="0.15773115274356075"/>
        </c:manualLayout>
      </c:layout>
      <c:overlay val="0"/>
      <c:txPr>
        <a:bodyPr/>
        <a:lstStyle/>
        <a:p>
          <a:pPr>
            <a:defRPr sz="1000" b="0"/>
          </a:pPr>
          <a:endParaRPr lang="en-US"/>
        </a:p>
      </c:txPr>
    </c:legend>
    <c:plotVisOnly val="1"/>
    <c:dispBlanksAs val="gap"/>
    <c:showDLblsOverMax val="0"/>
  </c:chart>
  <c:txPr>
    <a:bodyPr/>
    <a:lstStyle/>
    <a:p>
      <a:pPr algn="ctr">
        <a:defRPr lang="en-AU" sz="1600" b="1" i="0" u="none" strike="noStrike" kern="1200" baseline="0">
          <a:solidFill>
            <a:sysClr val="windowText" lastClr="000000"/>
          </a:solidFill>
          <a:latin typeface="+mn-lt"/>
          <a:ea typeface="+mn-ea"/>
          <a:cs typeface="+mn-cs"/>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Copper: Sales</a:t>
            </a:r>
            <a:r>
              <a:rPr lang="en-US" sz="1600" baseline="0"/>
              <a:t> Volumes</a:t>
            </a:r>
            <a:r>
              <a:rPr lang="en-US" sz="1600"/>
              <a:t> </a:t>
            </a:r>
          </a:p>
        </c:rich>
      </c:tx>
      <c:layout>
        <c:manualLayout>
          <c:xMode val="edge"/>
          <c:yMode val="edge"/>
          <c:x val="0.2952579292074472"/>
          <c:y val="1.1414216447643871E-2"/>
        </c:manualLayout>
      </c:layout>
      <c:overlay val="0"/>
    </c:title>
    <c:autoTitleDeleted val="0"/>
    <c:plotArea>
      <c:layout>
        <c:manualLayout>
          <c:layoutTarget val="inner"/>
          <c:xMode val="edge"/>
          <c:yMode val="edge"/>
          <c:x val="0.15095060625614834"/>
          <c:y val="0.11247633068164936"/>
          <c:w val="0.68647960465527091"/>
          <c:h val="0.51023000769843729"/>
        </c:manualLayout>
      </c:layout>
      <c:barChart>
        <c:barDir val="col"/>
        <c:grouping val="clustered"/>
        <c:varyColors val="0"/>
        <c:ser>
          <c:idx val="2"/>
          <c:order val="0"/>
          <c:tx>
            <c:strRef>
              <c:f>'High Case'!$A$170</c:f>
              <c:strCache>
                <c:ptCount val="1"/>
                <c:pt idx="0">
                  <c:v>copper conc - contained copper - High Case</c:v>
                </c:pt>
              </c:strCache>
            </c:strRef>
          </c:tx>
          <c:spPr>
            <a:solidFill>
              <a:srgbClr val="FFC000"/>
            </a:solidFill>
          </c:spPr>
          <c:invertIfNegative val="0"/>
          <c:cat>
            <c:numRef>
              <c:f>'High Case'!$D$94:$AD$94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'High Case'!$D$170:$AD$170</c:f>
              <c:numCache>
                <c:formatCode>#,##0</c:formatCode>
                <c:ptCount val="27"/>
                <c:pt idx="0">
                  <c:v>0</c:v>
                </c:pt>
                <c:pt idx="1">
                  <c:v>0</c:v>
                </c:pt>
                <c:pt idx="2">
                  <c:v>42.889846153846143</c:v>
                </c:pt>
                <c:pt idx="3">
                  <c:v>67.583999999999989</c:v>
                </c:pt>
                <c:pt idx="4">
                  <c:v>67.583999999999989</c:v>
                </c:pt>
                <c:pt idx="5">
                  <c:v>67.583999999999989</c:v>
                </c:pt>
                <c:pt idx="6">
                  <c:v>70.508307692307682</c:v>
                </c:pt>
                <c:pt idx="7">
                  <c:v>62.95384615384615</c:v>
                </c:pt>
                <c:pt idx="8">
                  <c:v>64.064000000000007</c:v>
                </c:pt>
                <c:pt idx="9">
                  <c:v>64.064000000000007</c:v>
                </c:pt>
                <c:pt idx="10">
                  <c:v>64.064000000000007</c:v>
                </c:pt>
                <c:pt idx="11">
                  <c:v>64.064000000000007</c:v>
                </c:pt>
                <c:pt idx="12">
                  <c:v>64.307692307692292</c:v>
                </c:pt>
                <c:pt idx="13">
                  <c:v>61.951999999999998</c:v>
                </c:pt>
                <c:pt idx="14">
                  <c:v>61.951999999999998</c:v>
                </c:pt>
                <c:pt idx="15">
                  <c:v>61.951999999999998</c:v>
                </c:pt>
                <c:pt idx="16">
                  <c:v>69.100307692307695</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0-F99F-41DB-B54B-C8F979900304}"/>
            </c:ext>
          </c:extLst>
        </c:ser>
        <c:dLbls>
          <c:showLegendKey val="0"/>
          <c:showVal val="0"/>
          <c:showCatName val="0"/>
          <c:showSerName val="0"/>
          <c:showPercent val="0"/>
          <c:showBubbleSize val="0"/>
        </c:dLbls>
        <c:gapWidth val="50"/>
        <c:axId val="371321312"/>
        <c:axId val="371320528"/>
      </c:barChart>
      <c:lineChart>
        <c:grouping val="standard"/>
        <c:varyColors val="0"/>
        <c:ser>
          <c:idx val="1"/>
          <c:order val="1"/>
          <c:tx>
            <c:strRef>
              <c:f>'High Case'!$A$296</c:f>
              <c:strCache>
                <c:ptCount val="1"/>
                <c:pt idx="0">
                  <c:v>copper concentrate sold</c:v>
                </c:pt>
              </c:strCache>
            </c:strRef>
          </c:tx>
          <c:spPr>
            <a:ln w="88900">
              <a:solidFill>
                <a:srgbClr val="66FF33"/>
              </a:solidFill>
              <a:prstDash val="sysDot"/>
            </a:ln>
          </c:spPr>
          <c:marker>
            <c:symbol val="none"/>
          </c:marker>
          <c:cat>
            <c:numRef>
              <c:f>'High Case'!$D$94:$N$94</c:f>
              <c:numCache>
                <c:formatCode>0</c:formatCode>
                <c:ptCount val="11"/>
                <c:pt idx="0">
                  <c:v>2027</c:v>
                </c:pt>
                <c:pt idx="1">
                  <c:v>2028</c:v>
                </c:pt>
                <c:pt idx="2">
                  <c:v>2029</c:v>
                </c:pt>
                <c:pt idx="3">
                  <c:v>2030</c:v>
                </c:pt>
                <c:pt idx="4">
                  <c:v>2031</c:v>
                </c:pt>
                <c:pt idx="5">
                  <c:v>2032</c:v>
                </c:pt>
                <c:pt idx="6">
                  <c:v>2033</c:v>
                </c:pt>
                <c:pt idx="7">
                  <c:v>2034</c:v>
                </c:pt>
                <c:pt idx="8">
                  <c:v>2035</c:v>
                </c:pt>
                <c:pt idx="9">
                  <c:v>2036</c:v>
                </c:pt>
                <c:pt idx="10">
                  <c:v>2037</c:v>
                </c:pt>
              </c:numCache>
            </c:numRef>
          </c:cat>
          <c:val>
            <c:numRef>
              <c:f>'High Case'!$D$296:$AD$296</c:f>
              <c:numCache>
                <c:formatCode>#,##0</c:formatCode>
                <c:ptCount val="27"/>
                <c:pt idx="0">
                  <c:v>0</c:v>
                </c:pt>
                <c:pt idx="1">
                  <c:v>0</c:v>
                </c:pt>
                <c:pt idx="2">
                  <c:v>114.40839854934146</c:v>
                </c:pt>
                <c:pt idx="3">
                  <c:v>204.22584462683716</c:v>
                </c:pt>
                <c:pt idx="4">
                  <c:v>218.01290322580644</c:v>
                </c:pt>
                <c:pt idx="5">
                  <c:v>218.01290322580644</c:v>
                </c:pt>
                <c:pt idx="6">
                  <c:v>225.81347585417063</c:v>
                </c:pt>
                <c:pt idx="7">
                  <c:v>207.29467455621301</c:v>
                </c:pt>
                <c:pt idx="8">
                  <c:v>206.03825157472801</c:v>
                </c:pt>
                <c:pt idx="9">
                  <c:v>206.65806451612906</c:v>
                </c:pt>
                <c:pt idx="10">
                  <c:v>206.65806451612906</c:v>
                </c:pt>
                <c:pt idx="11">
                  <c:v>206.65806451612906</c:v>
                </c:pt>
                <c:pt idx="12">
                  <c:v>207.30811223515937</c:v>
                </c:pt>
                <c:pt idx="13">
                  <c:v>201.16037411719793</c:v>
                </c:pt>
                <c:pt idx="14">
                  <c:v>199.84516129032258</c:v>
                </c:pt>
                <c:pt idx="15">
                  <c:v>199.84516129032258</c:v>
                </c:pt>
                <c:pt idx="16">
                  <c:v>257.49280397022335</c:v>
                </c:pt>
                <c:pt idx="17">
                  <c:v>0</c:v>
                </c:pt>
                <c:pt idx="18">
                  <c:v>0</c:v>
                </c:pt>
                <c:pt idx="19">
                  <c:v>0</c:v>
                </c:pt>
                <c:pt idx="20">
                  <c:v>0</c:v>
                </c:pt>
                <c:pt idx="21">
                  <c:v>0</c:v>
                </c:pt>
                <c:pt idx="22">
                  <c:v>0</c:v>
                </c:pt>
                <c:pt idx="23">
                  <c:v>0</c:v>
                </c:pt>
                <c:pt idx="24">
                  <c:v>0</c:v>
                </c:pt>
                <c:pt idx="25">
                  <c:v>0</c:v>
                </c:pt>
                <c:pt idx="26">
                  <c:v>0</c:v>
                </c:pt>
              </c:numCache>
            </c:numRef>
          </c:val>
          <c:smooth val="0"/>
          <c:extLst>
            <c:ext xmlns:c16="http://schemas.microsoft.com/office/drawing/2014/chart" uri="{C3380CC4-5D6E-409C-BE32-E72D297353CC}">
              <c16:uniqueId val="{00000001-F99F-41DB-B54B-C8F979900304}"/>
            </c:ext>
          </c:extLst>
        </c:ser>
        <c:dLbls>
          <c:showLegendKey val="0"/>
          <c:showVal val="0"/>
          <c:showCatName val="0"/>
          <c:showSerName val="0"/>
          <c:showPercent val="0"/>
          <c:showBubbleSize val="0"/>
        </c:dLbls>
        <c:marker val="1"/>
        <c:smooth val="0"/>
        <c:axId val="371326408"/>
        <c:axId val="371319352"/>
      </c:lineChart>
      <c:catAx>
        <c:axId val="371321312"/>
        <c:scaling>
          <c:orientation val="minMax"/>
        </c:scaling>
        <c:delete val="0"/>
        <c:axPos val="b"/>
        <c:numFmt formatCode="0" sourceLinked="1"/>
        <c:majorTickMark val="out"/>
        <c:minorTickMark val="none"/>
        <c:tickLblPos val="nextTo"/>
        <c:txPr>
          <a:bodyPr/>
          <a:lstStyle/>
          <a:p>
            <a:pPr>
              <a:defRPr sz="1000"/>
            </a:pPr>
            <a:endParaRPr lang="en-US"/>
          </a:p>
        </c:txPr>
        <c:crossAx val="371320528"/>
        <c:crosses val="autoZero"/>
        <c:auto val="1"/>
        <c:lblAlgn val="ctr"/>
        <c:lblOffset val="100"/>
        <c:noMultiLvlLbl val="0"/>
      </c:catAx>
      <c:valAx>
        <c:axId val="371320528"/>
        <c:scaling>
          <c:orientation val="minMax"/>
        </c:scaling>
        <c:delete val="0"/>
        <c:axPos val="l"/>
        <c:majorGridlines/>
        <c:title>
          <c:tx>
            <c:rich>
              <a:bodyPr rot="-5400000" vert="horz"/>
              <a:lstStyle/>
              <a:p>
                <a:pPr>
                  <a:defRPr sz="1200">
                    <a:solidFill>
                      <a:srgbClr val="FFC000"/>
                    </a:solidFill>
                  </a:defRPr>
                </a:pPr>
                <a:r>
                  <a:rPr lang="en-US" sz="1200">
                    <a:solidFill>
                      <a:srgbClr val="FFC000"/>
                    </a:solidFill>
                  </a:rPr>
                  <a:t>Copper Tonnes  - 000s</a:t>
                </a:r>
              </a:p>
            </c:rich>
          </c:tx>
          <c:layout>
            <c:manualLayout>
              <c:xMode val="edge"/>
              <c:yMode val="edge"/>
              <c:x val="1.2593641916255794E-2"/>
              <c:y val="0.13085992895827986"/>
            </c:manualLayout>
          </c:layout>
          <c:overlay val="0"/>
        </c:title>
        <c:numFmt formatCode="#,##0" sourceLinked="1"/>
        <c:majorTickMark val="out"/>
        <c:minorTickMark val="none"/>
        <c:tickLblPos val="nextTo"/>
        <c:txPr>
          <a:bodyPr/>
          <a:lstStyle/>
          <a:p>
            <a:pPr>
              <a:defRPr sz="1000" b="1" baseline="0">
                <a:solidFill>
                  <a:srgbClr val="FFC000"/>
                </a:solidFill>
              </a:defRPr>
            </a:pPr>
            <a:endParaRPr lang="en-US"/>
          </a:p>
        </c:txPr>
        <c:crossAx val="371321312"/>
        <c:crosses val="autoZero"/>
        <c:crossBetween val="between"/>
      </c:valAx>
      <c:catAx>
        <c:axId val="371326408"/>
        <c:scaling>
          <c:orientation val="minMax"/>
        </c:scaling>
        <c:delete val="1"/>
        <c:axPos val="b"/>
        <c:numFmt formatCode="0" sourceLinked="1"/>
        <c:majorTickMark val="out"/>
        <c:minorTickMark val="none"/>
        <c:tickLblPos val="none"/>
        <c:crossAx val="371319352"/>
        <c:crosses val="autoZero"/>
        <c:auto val="1"/>
        <c:lblAlgn val="ctr"/>
        <c:lblOffset val="100"/>
        <c:noMultiLvlLbl val="0"/>
      </c:catAx>
      <c:valAx>
        <c:axId val="371319352"/>
        <c:scaling>
          <c:orientation val="minMax"/>
        </c:scaling>
        <c:delete val="0"/>
        <c:axPos val="r"/>
        <c:title>
          <c:tx>
            <c:rich>
              <a:bodyPr rot="-5400000" vert="horz"/>
              <a:lstStyle/>
              <a:p>
                <a:pPr>
                  <a:defRPr sz="1200">
                    <a:solidFill>
                      <a:srgbClr val="37E600"/>
                    </a:solidFill>
                  </a:defRPr>
                </a:pPr>
                <a:r>
                  <a:rPr lang="en-US" sz="1200">
                    <a:solidFill>
                      <a:srgbClr val="37E600"/>
                    </a:solidFill>
                  </a:rPr>
                  <a:t>Concentrate dry tonnes 000's</a:t>
                </a:r>
              </a:p>
            </c:rich>
          </c:tx>
          <c:layout>
            <c:manualLayout>
              <c:xMode val="edge"/>
              <c:yMode val="edge"/>
              <c:x val="0.9256308411214953"/>
              <c:y val="7.5998703421077507E-2"/>
            </c:manualLayout>
          </c:layout>
          <c:overlay val="0"/>
        </c:title>
        <c:numFmt formatCode="#,##0" sourceLinked="1"/>
        <c:majorTickMark val="out"/>
        <c:minorTickMark val="none"/>
        <c:tickLblPos val="nextTo"/>
        <c:txPr>
          <a:bodyPr/>
          <a:lstStyle/>
          <a:p>
            <a:pPr>
              <a:defRPr sz="1000" b="1" baseline="0">
                <a:solidFill>
                  <a:srgbClr val="37E600"/>
                </a:solidFill>
              </a:defRPr>
            </a:pPr>
            <a:endParaRPr lang="en-US"/>
          </a:p>
        </c:txPr>
        <c:crossAx val="371326408"/>
        <c:crosses val="max"/>
        <c:crossBetween val="between"/>
      </c:valAx>
    </c:plotArea>
    <c:legend>
      <c:legendPos val="b"/>
      <c:layout>
        <c:manualLayout>
          <c:xMode val="edge"/>
          <c:yMode val="edge"/>
          <c:x val="0.11852467856828959"/>
          <c:y val="0.78423864507808805"/>
          <c:w val="0.78334443299727718"/>
          <c:h val="0.20082675934222782"/>
        </c:manualLayout>
      </c:layout>
      <c:overlay val="0"/>
      <c:txPr>
        <a:bodyPr/>
        <a:lstStyle/>
        <a:p>
          <a:pPr>
            <a:defRPr sz="1000" b="1"/>
          </a:pPr>
          <a:endParaRPr lang="en-US"/>
        </a:p>
      </c:txPr>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NPV </a:t>
            </a:r>
            <a:r>
              <a:rPr lang="en-US" sz="1600" b="0"/>
              <a:t>- high case </a:t>
            </a:r>
          </a:p>
        </c:rich>
      </c:tx>
      <c:layout>
        <c:manualLayout>
          <c:xMode val="edge"/>
          <c:yMode val="edge"/>
          <c:x val="0.20321711539759788"/>
          <c:y val="5.9893469656568665E-2"/>
        </c:manualLayout>
      </c:layout>
      <c:overlay val="0"/>
    </c:title>
    <c:autoTitleDeleted val="0"/>
    <c:plotArea>
      <c:layout>
        <c:manualLayout>
          <c:layoutTarget val="inner"/>
          <c:xMode val="edge"/>
          <c:yMode val="edge"/>
          <c:x val="0.14939346143696183"/>
          <c:y val="5.9910251180138693E-2"/>
          <c:w val="0.82336551267023017"/>
          <c:h val="0.77129046731755313"/>
        </c:manualLayout>
      </c:layout>
      <c:barChart>
        <c:barDir val="col"/>
        <c:grouping val="stacked"/>
        <c:varyColors val="0"/>
        <c:ser>
          <c:idx val="0"/>
          <c:order val="0"/>
          <c:tx>
            <c:strRef>
              <c:f>'High Case'!$A$757</c:f>
              <c:strCache>
                <c:ptCount val="1"/>
                <c:pt idx="0">
                  <c:v>Discounted Cashflow</c:v>
                </c:pt>
              </c:strCache>
            </c:strRef>
          </c:tx>
          <c:spPr>
            <a:solidFill>
              <a:srgbClr val="00B050"/>
            </a:solidFill>
            <a:ln>
              <a:noFill/>
            </a:ln>
          </c:spPr>
          <c:invertIfNegative val="0"/>
          <c:cat>
            <c:numRef>
              <c:f>'Expected NPV &amp; Common Data'!$D$36:$AD$36</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'High Case'!$D$757:$AD$757</c:f>
              <c:numCache>
                <c:formatCode>#,##0_);[Red]\(#,##0\)</c:formatCode>
                <c:ptCount val="27"/>
                <c:pt idx="0">
                  <c:v>-232.78762853725706</c:v>
                </c:pt>
                <c:pt idx="1">
                  <c:v>-514.48323987786648</c:v>
                </c:pt>
                <c:pt idx="2">
                  <c:v>77.350443501696958</c:v>
                </c:pt>
                <c:pt idx="3">
                  <c:v>337.07038725028946</c:v>
                </c:pt>
                <c:pt idx="4">
                  <c:v>278.17388672144085</c:v>
                </c:pt>
                <c:pt idx="5">
                  <c:v>240.78704848050739</c:v>
                </c:pt>
                <c:pt idx="6">
                  <c:v>197.28880579103893</c:v>
                </c:pt>
                <c:pt idx="7">
                  <c:v>140.54770500155564</c:v>
                </c:pt>
                <c:pt idx="8">
                  <c:v>99.391933995489737</c:v>
                </c:pt>
                <c:pt idx="9">
                  <c:v>75.95503271757967</c:v>
                </c:pt>
                <c:pt idx="10">
                  <c:v>76.006550857129298</c:v>
                </c:pt>
                <c:pt idx="11">
                  <c:v>68.667279722472102</c:v>
                </c:pt>
                <c:pt idx="12">
                  <c:v>68.623507353996217</c:v>
                </c:pt>
                <c:pt idx="13">
                  <c:v>55.694045464281501</c:v>
                </c:pt>
                <c:pt idx="14">
                  <c:v>50.89500553609895</c:v>
                </c:pt>
                <c:pt idx="15">
                  <c:v>59.671193857226683</c:v>
                </c:pt>
                <c:pt idx="16">
                  <c:v>94.715298088246087</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0-5795-4FA1-8F01-49A946C2427B}"/>
            </c:ext>
          </c:extLst>
        </c:ser>
        <c:dLbls>
          <c:showLegendKey val="0"/>
          <c:showVal val="0"/>
          <c:showCatName val="0"/>
          <c:showSerName val="0"/>
          <c:showPercent val="0"/>
          <c:showBubbleSize val="0"/>
        </c:dLbls>
        <c:gapWidth val="0"/>
        <c:overlap val="100"/>
        <c:axId val="371322096"/>
        <c:axId val="371323272"/>
      </c:barChart>
      <c:lineChart>
        <c:grouping val="standard"/>
        <c:varyColors val="0"/>
        <c:ser>
          <c:idx val="1"/>
          <c:order val="1"/>
          <c:tx>
            <c:strRef>
              <c:f>'High Case'!$A$758</c:f>
              <c:strCache>
                <c:ptCount val="1"/>
                <c:pt idx="0">
                  <c:v>Cumulative NPV</c:v>
                </c:pt>
              </c:strCache>
            </c:strRef>
          </c:tx>
          <c:spPr>
            <a:ln w="28575">
              <a:solidFill>
                <a:srgbClr val="00FF00"/>
              </a:solidFill>
            </a:ln>
          </c:spPr>
          <c:marker>
            <c:symbol val="none"/>
          </c:marker>
          <c:cat>
            <c:numRef>
              <c:f>'Expected NPV &amp; Common Data'!$D$36:$AD$36</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'High Case'!$D$758:$AD$758</c:f>
              <c:numCache>
                <c:formatCode>#,##0_);[Red]\(#,##0\)</c:formatCode>
                <c:ptCount val="27"/>
                <c:pt idx="0">
                  <c:v>-232.78762853725706</c:v>
                </c:pt>
                <c:pt idx="1">
                  <c:v>-747.27086841512357</c:v>
                </c:pt>
                <c:pt idx="2">
                  <c:v>-669.92042491342659</c:v>
                </c:pt>
                <c:pt idx="3">
                  <c:v>-332.85003766313713</c:v>
                </c:pt>
                <c:pt idx="4">
                  <c:v>-54.676150941696278</c:v>
                </c:pt>
                <c:pt idx="5">
                  <c:v>186.11089753881112</c:v>
                </c:pt>
                <c:pt idx="6">
                  <c:v>383.39970332985001</c:v>
                </c:pt>
                <c:pt idx="7">
                  <c:v>523.94740833140565</c:v>
                </c:pt>
                <c:pt idx="8">
                  <c:v>623.33934232689535</c:v>
                </c:pt>
                <c:pt idx="9">
                  <c:v>699.29437504447503</c:v>
                </c:pt>
                <c:pt idx="10">
                  <c:v>775.30092590160439</c:v>
                </c:pt>
                <c:pt idx="11">
                  <c:v>843.96820562407652</c:v>
                </c:pt>
                <c:pt idx="12">
                  <c:v>912.59171297807279</c:v>
                </c:pt>
                <c:pt idx="13">
                  <c:v>968.28575844235434</c:v>
                </c:pt>
                <c:pt idx="14">
                  <c:v>1019.1807639784533</c:v>
                </c:pt>
                <c:pt idx="15">
                  <c:v>1078.85195783568</c:v>
                </c:pt>
                <c:pt idx="16">
                  <c:v>1173.567255923926</c:v>
                </c:pt>
                <c:pt idx="17">
                  <c:v>1173.567255923926</c:v>
                </c:pt>
                <c:pt idx="18">
                  <c:v>1173.567255923926</c:v>
                </c:pt>
                <c:pt idx="19">
                  <c:v>1173.567255923926</c:v>
                </c:pt>
                <c:pt idx="20">
                  <c:v>1173.567255923926</c:v>
                </c:pt>
                <c:pt idx="21">
                  <c:v>1173.567255923926</c:v>
                </c:pt>
                <c:pt idx="22">
                  <c:v>1173.567255923926</c:v>
                </c:pt>
                <c:pt idx="23">
                  <c:v>1173.567255923926</c:v>
                </c:pt>
                <c:pt idx="24">
                  <c:v>1173.567255923926</c:v>
                </c:pt>
                <c:pt idx="25">
                  <c:v>1173.567255923926</c:v>
                </c:pt>
                <c:pt idx="26">
                  <c:v>1173.567255923926</c:v>
                </c:pt>
              </c:numCache>
            </c:numRef>
          </c:val>
          <c:smooth val="0"/>
          <c:extLst>
            <c:ext xmlns:c16="http://schemas.microsoft.com/office/drawing/2014/chart" uri="{C3380CC4-5D6E-409C-BE32-E72D297353CC}">
              <c16:uniqueId val="{00000001-5795-4FA1-8F01-49A946C2427B}"/>
            </c:ext>
          </c:extLst>
        </c:ser>
        <c:dLbls>
          <c:showLegendKey val="0"/>
          <c:showVal val="0"/>
          <c:showCatName val="0"/>
          <c:showSerName val="0"/>
          <c:showPercent val="0"/>
          <c:showBubbleSize val="0"/>
        </c:dLbls>
        <c:marker val="1"/>
        <c:smooth val="0"/>
        <c:axId val="371322096"/>
        <c:axId val="371323272"/>
      </c:lineChart>
      <c:catAx>
        <c:axId val="371322096"/>
        <c:scaling>
          <c:orientation val="minMax"/>
        </c:scaling>
        <c:delete val="0"/>
        <c:axPos val="b"/>
        <c:numFmt formatCode="0" sourceLinked="1"/>
        <c:majorTickMark val="out"/>
        <c:minorTickMark val="none"/>
        <c:tickLblPos val="nextTo"/>
        <c:txPr>
          <a:bodyPr/>
          <a:lstStyle/>
          <a:p>
            <a:pPr>
              <a:defRPr sz="1050" b="0"/>
            </a:pPr>
            <a:endParaRPr lang="en-US"/>
          </a:p>
        </c:txPr>
        <c:crossAx val="371323272"/>
        <c:crosses val="autoZero"/>
        <c:auto val="1"/>
        <c:lblAlgn val="ctr"/>
        <c:lblOffset val="100"/>
        <c:noMultiLvlLbl val="0"/>
      </c:catAx>
      <c:valAx>
        <c:axId val="371323272"/>
        <c:scaling>
          <c:orientation val="minMax"/>
        </c:scaling>
        <c:delete val="0"/>
        <c:axPos val="l"/>
        <c:majorGridlines/>
        <c:title>
          <c:tx>
            <c:rich>
              <a:bodyPr rot="-5400000" vert="horz"/>
              <a:lstStyle/>
              <a:p>
                <a:pPr>
                  <a:defRPr sz="1200" b="0">
                    <a:solidFill>
                      <a:srgbClr val="00B050"/>
                    </a:solidFill>
                  </a:defRPr>
                </a:pPr>
                <a:r>
                  <a:rPr lang="en-US" sz="1200" b="0">
                    <a:solidFill>
                      <a:srgbClr val="00B050"/>
                    </a:solidFill>
                  </a:rPr>
                  <a:t>US$ Millions Real</a:t>
                </a:r>
              </a:p>
            </c:rich>
          </c:tx>
          <c:layout>
            <c:manualLayout>
              <c:xMode val="edge"/>
              <c:yMode val="edge"/>
              <c:x val="1.6170768392842341E-2"/>
              <c:y val="0.20678074458569781"/>
            </c:manualLayout>
          </c:layout>
          <c:overlay val="0"/>
        </c:title>
        <c:numFmt formatCode="#,##0" sourceLinked="0"/>
        <c:majorTickMark val="out"/>
        <c:minorTickMark val="none"/>
        <c:tickLblPos val="nextTo"/>
        <c:txPr>
          <a:bodyPr/>
          <a:lstStyle/>
          <a:p>
            <a:pPr>
              <a:defRPr sz="1000" b="0">
                <a:solidFill>
                  <a:srgbClr val="00B050"/>
                </a:solidFill>
              </a:defRPr>
            </a:pPr>
            <a:endParaRPr lang="en-US"/>
          </a:p>
        </c:txPr>
        <c:crossAx val="371322096"/>
        <c:crosses val="autoZero"/>
        <c:crossBetween val="between"/>
      </c:valAx>
    </c:plotArea>
    <c:legend>
      <c:legendPos val="b"/>
      <c:layout>
        <c:manualLayout>
          <c:xMode val="edge"/>
          <c:yMode val="edge"/>
          <c:x val="2.3239789831465876E-2"/>
          <c:y val="0.84490116207303967"/>
          <c:w val="0.94215320487536447"/>
          <c:h val="0.13278021713190738"/>
        </c:manualLayout>
      </c:layout>
      <c:overlay val="0"/>
      <c:txPr>
        <a:bodyPr/>
        <a:lstStyle/>
        <a:p>
          <a:pPr>
            <a:defRPr sz="1000" b="0"/>
          </a:pPr>
          <a:endParaRPr lang="en-US"/>
        </a:p>
      </c:txPr>
    </c:legend>
    <c:plotVisOnly val="1"/>
    <c:dispBlanksAs val="gap"/>
    <c:showDLblsOverMax val="0"/>
  </c:chart>
  <c:txPr>
    <a:bodyPr/>
    <a:lstStyle/>
    <a:p>
      <a:pPr algn="ctr">
        <a:defRPr lang="en-AU" sz="1600" b="1" i="0" u="none" strike="noStrike" kern="1200" baseline="0">
          <a:solidFill>
            <a:sysClr val="windowText" lastClr="000000"/>
          </a:solidFill>
          <a:latin typeface="+mn-lt"/>
          <a:ea typeface="+mn-ea"/>
          <a:cs typeface="+mn-cs"/>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Opex</a:t>
            </a:r>
          </a:p>
        </c:rich>
      </c:tx>
      <c:layout>
        <c:manualLayout>
          <c:xMode val="edge"/>
          <c:yMode val="edge"/>
          <c:x val="0.41695289335715829"/>
          <c:y val="9.1478645025461073E-4"/>
        </c:manualLayout>
      </c:layout>
      <c:overlay val="1"/>
    </c:title>
    <c:autoTitleDeleted val="0"/>
    <c:plotArea>
      <c:layout>
        <c:manualLayout>
          <c:layoutTarget val="inner"/>
          <c:xMode val="edge"/>
          <c:yMode val="edge"/>
          <c:x val="0.17442142674809041"/>
          <c:y val="5.6719143724125447E-2"/>
          <c:w val="0.79470752253225208"/>
          <c:h val="0.56860563153861865"/>
        </c:manualLayout>
      </c:layout>
      <c:barChart>
        <c:barDir val="col"/>
        <c:grouping val="stacked"/>
        <c:varyColors val="0"/>
        <c:ser>
          <c:idx val="3"/>
          <c:order val="0"/>
          <c:tx>
            <c:strRef>
              <c:f>'High Case'!$A$574</c:f>
              <c:strCache>
                <c:ptCount val="1"/>
                <c:pt idx="0">
                  <c:v>General &amp; Administration</c:v>
                </c:pt>
              </c:strCache>
            </c:strRef>
          </c:tx>
          <c:spPr>
            <a:solidFill>
              <a:srgbClr val="CC9900"/>
            </a:solidFill>
          </c:spPr>
          <c:invertIfNegative val="0"/>
          <c:cat>
            <c:numRef>
              <c:f>'High Case'!$D$94:$AD$94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'High Case'!$D$574:$AD$574</c:f>
              <c:numCache>
                <c:formatCode>#,##0</c:formatCode>
                <c:ptCount val="27"/>
                <c:pt idx="0">
                  <c:v>0</c:v>
                </c:pt>
                <c:pt idx="1">
                  <c:v>0</c:v>
                </c:pt>
                <c:pt idx="2">
                  <c:v>27.9724</c:v>
                </c:pt>
                <c:pt idx="3">
                  <c:v>27.9724</c:v>
                </c:pt>
                <c:pt idx="4">
                  <c:v>27.9724</c:v>
                </c:pt>
                <c:pt idx="5">
                  <c:v>27.9724</c:v>
                </c:pt>
                <c:pt idx="6">
                  <c:v>27.9724</c:v>
                </c:pt>
                <c:pt idx="7">
                  <c:v>27.9724</c:v>
                </c:pt>
                <c:pt idx="8">
                  <c:v>27.9724</c:v>
                </c:pt>
                <c:pt idx="9">
                  <c:v>27.9724</c:v>
                </c:pt>
                <c:pt idx="10">
                  <c:v>27.9724</c:v>
                </c:pt>
                <c:pt idx="11">
                  <c:v>27.9724</c:v>
                </c:pt>
                <c:pt idx="12">
                  <c:v>27.9724</c:v>
                </c:pt>
                <c:pt idx="13">
                  <c:v>27.9724</c:v>
                </c:pt>
                <c:pt idx="14">
                  <c:v>27.9724</c:v>
                </c:pt>
                <c:pt idx="15">
                  <c:v>27.9724</c:v>
                </c:pt>
                <c:pt idx="16">
                  <c:v>27.9724</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0-0CC3-4F29-BBE2-F0F5A5A1BE91}"/>
            </c:ext>
          </c:extLst>
        </c:ser>
        <c:ser>
          <c:idx val="4"/>
          <c:order val="1"/>
          <c:tx>
            <c:strRef>
              <c:f>'High Case'!$A$640</c:f>
              <c:strCache>
                <c:ptCount val="1"/>
                <c:pt idx="0">
                  <c:v>Product Logistics - copper &amp; moly</c:v>
                </c:pt>
              </c:strCache>
            </c:strRef>
          </c:tx>
          <c:spPr>
            <a:solidFill>
              <a:schemeClr val="accent6">
                <a:lumMod val="50000"/>
              </a:schemeClr>
            </a:solidFill>
          </c:spPr>
          <c:invertIfNegative val="0"/>
          <c:cat>
            <c:numRef>
              <c:f>'High Case'!$D$94:$AD$94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'High Case'!$D$640:$AD$640</c:f>
              <c:numCache>
                <c:formatCode>#,##0.0</c:formatCode>
                <c:ptCount val="27"/>
                <c:pt idx="0">
                  <c:v>0</c:v>
                </c:pt>
                <c:pt idx="1">
                  <c:v>0</c:v>
                </c:pt>
                <c:pt idx="2">
                  <c:v>6.7191622828784103</c:v>
                </c:pt>
                <c:pt idx="3">
                  <c:v>12.106042769716632</c:v>
                </c:pt>
                <c:pt idx="4">
                  <c:v>13.03071389872923</c:v>
                </c:pt>
                <c:pt idx="5">
                  <c:v>13.126904283073312</c:v>
                </c:pt>
                <c:pt idx="6">
                  <c:v>13.695828470010417</c:v>
                </c:pt>
                <c:pt idx="7">
                  <c:v>12.550847128718924</c:v>
                </c:pt>
                <c:pt idx="8">
                  <c:v>12.397226588185079</c:v>
                </c:pt>
                <c:pt idx="9">
                  <c:v>12.489017625002909</c:v>
                </c:pt>
                <c:pt idx="10">
                  <c:v>12.581684627580735</c:v>
                </c:pt>
                <c:pt idx="11">
                  <c:v>12.675278300184337</c:v>
                </c:pt>
                <c:pt idx="12">
                  <c:v>12.885797405166786</c:v>
                </c:pt>
                <c:pt idx="13">
                  <c:v>12.305783643842542</c:v>
                </c:pt>
                <c:pt idx="14">
                  <c:v>12.316493064573038</c:v>
                </c:pt>
                <c:pt idx="15">
                  <c:v>12.408570970129162</c:v>
                </c:pt>
                <c:pt idx="16">
                  <c:v>16.107791670531476</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1-0CC3-4F29-BBE2-F0F5A5A1BE91}"/>
            </c:ext>
          </c:extLst>
        </c:ser>
        <c:ser>
          <c:idx val="2"/>
          <c:order val="2"/>
          <c:tx>
            <c:strRef>
              <c:f>'High Case'!$A$509</c:f>
              <c:strCache>
                <c:ptCount val="1"/>
                <c:pt idx="0">
                  <c:v>processing opex</c:v>
                </c:pt>
              </c:strCache>
            </c:strRef>
          </c:tx>
          <c:spPr>
            <a:solidFill>
              <a:srgbClr val="FFCC66"/>
            </a:solidFill>
          </c:spPr>
          <c:invertIfNegative val="0"/>
          <c:cat>
            <c:numRef>
              <c:f>'High Case'!$D$94:$AD$94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'High Case'!$D$509:$AD$509</c:f>
              <c:numCache>
                <c:formatCode>#,##0</c:formatCode>
                <c:ptCount val="27"/>
                <c:pt idx="0">
                  <c:v>0</c:v>
                </c:pt>
                <c:pt idx="1">
                  <c:v>0</c:v>
                </c:pt>
                <c:pt idx="2">
                  <c:v>74.691384615384607</c:v>
                </c:pt>
                <c:pt idx="3">
                  <c:v>108.184</c:v>
                </c:pt>
                <c:pt idx="4">
                  <c:v>108.184</c:v>
                </c:pt>
                <c:pt idx="5">
                  <c:v>108.184</c:v>
                </c:pt>
                <c:pt idx="6">
                  <c:v>112.15023076923077</c:v>
                </c:pt>
                <c:pt idx="7">
                  <c:v>104.21776923076922</c:v>
                </c:pt>
                <c:pt idx="8">
                  <c:v>108.184</c:v>
                </c:pt>
                <c:pt idx="9">
                  <c:v>108.184</c:v>
                </c:pt>
                <c:pt idx="10">
                  <c:v>108.184</c:v>
                </c:pt>
                <c:pt idx="11">
                  <c:v>108.184</c:v>
                </c:pt>
                <c:pt idx="12">
                  <c:v>108.184</c:v>
                </c:pt>
                <c:pt idx="13">
                  <c:v>108.184</c:v>
                </c:pt>
                <c:pt idx="14">
                  <c:v>108.184</c:v>
                </c:pt>
                <c:pt idx="15">
                  <c:v>108.184</c:v>
                </c:pt>
                <c:pt idx="16">
                  <c:v>118.76061538461539</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2-0CC3-4F29-BBE2-F0F5A5A1BE91}"/>
            </c:ext>
          </c:extLst>
        </c:ser>
        <c:ser>
          <c:idx val="0"/>
          <c:order val="3"/>
          <c:tx>
            <c:strRef>
              <c:f>'High Case'!$A$460</c:f>
              <c:strCache>
                <c:ptCount val="1"/>
                <c:pt idx="0">
                  <c:v>mining opex</c:v>
                </c:pt>
              </c:strCache>
            </c:strRef>
          </c:tx>
          <c:spPr>
            <a:solidFill>
              <a:srgbClr val="FFFF00"/>
            </a:solidFill>
            <a:ln>
              <a:noFill/>
            </a:ln>
          </c:spPr>
          <c:invertIfNegative val="0"/>
          <c:cat>
            <c:numRef>
              <c:f>'High Case'!$D$94:$AD$94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'High Case'!$D$460:$AD$460</c:f>
              <c:numCache>
                <c:formatCode>#,##0</c:formatCode>
                <c:ptCount val="27"/>
                <c:pt idx="0">
                  <c:v>0</c:v>
                </c:pt>
                <c:pt idx="1">
                  <c:v>126.7</c:v>
                </c:pt>
                <c:pt idx="2">
                  <c:v>148.94999999999999</c:v>
                </c:pt>
                <c:pt idx="3">
                  <c:v>151.6</c:v>
                </c:pt>
                <c:pt idx="4">
                  <c:v>234.99999999999997</c:v>
                </c:pt>
                <c:pt idx="5">
                  <c:v>238.39999999999998</c:v>
                </c:pt>
                <c:pt idx="6">
                  <c:v>344.39999999999992</c:v>
                </c:pt>
                <c:pt idx="7">
                  <c:v>349.79999999999995</c:v>
                </c:pt>
                <c:pt idx="8">
                  <c:v>354.69999999999993</c:v>
                </c:pt>
                <c:pt idx="9">
                  <c:v>359.59999999999991</c:v>
                </c:pt>
                <c:pt idx="10">
                  <c:v>364.49999999999989</c:v>
                </c:pt>
                <c:pt idx="11">
                  <c:v>369.39999999999986</c:v>
                </c:pt>
                <c:pt idx="12">
                  <c:v>373.69999999999982</c:v>
                </c:pt>
                <c:pt idx="13">
                  <c:v>287.34999999999991</c:v>
                </c:pt>
                <c:pt idx="14">
                  <c:v>290.99999999999989</c:v>
                </c:pt>
                <c:pt idx="15">
                  <c:v>236.89999999999992</c:v>
                </c:pt>
                <c:pt idx="16">
                  <c:v>44.79999999999999</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3-0CC3-4F29-BBE2-F0F5A5A1BE91}"/>
            </c:ext>
          </c:extLst>
        </c:ser>
        <c:ser>
          <c:idx val="6"/>
          <c:order val="4"/>
          <c:tx>
            <c:strRef>
              <c:f>'High Case'!$A$603</c:f>
              <c:strCache>
                <c:ptCount val="1"/>
                <c:pt idx="0">
                  <c:v>Exploration &amp; Geotechnical</c:v>
                </c:pt>
              </c:strCache>
            </c:strRef>
          </c:tx>
          <c:invertIfNegative val="0"/>
          <c:cat>
            <c:numRef>
              <c:f>'High Case'!$D$94:$AD$94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'High Case'!$D$603:$AD$603</c:f>
              <c:numCache>
                <c:formatCode>#,##0.0</c:formatCode>
                <c:ptCount val="27"/>
                <c:pt idx="0">
                  <c:v>3.8</c:v>
                </c:pt>
                <c:pt idx="1">
                  <c:v>3.8</c:v>
                </c:pt>
                <c:pt idx="2">
                  <c:v>3.8</c:v>
                </c:pt>
                <c:pt idx="3">
                  <c:v>3.8</c:v>
                </c:pt>
                <c:pt idx="4">
                  <c:v>3.8</c:v>
                </c:pt>
                <c:pt idx="5">
                  <c:v>3.8</c:v>
                </c:pt>
                <c:pt idx="6">
                  <c:v>3.8</c:v>
                </c:pt>
                <c:pt idx="7">
                  <c:v>3.8</c:v>
                </c:pt>
                <c:pt idx="8">
                  <c:v>3.8</c:v>
                </c:pt>
                <c:pt idx="9">
                  <c:v>3.8</c:v>
                </c:pt>
                <c:pt idx="10">
                  <c:v>3.8</c:v>
                </c:pt>
                <c:pt idx="11">
                  <c:v>3.8</c:v>
                </c:pt>
                <c:pt idx="12">
                  <c:v>3.8</c:v>
                </c:pt>
                <c:pt idx="13">
                  <c:v>3.8</c:v>
                </c:pt>
                <c:pt idx="14">
                  <c:v>3.8</c:v>
                </c:pt>
                <c:pt idx="15">
                  <c:v>0</c:v>
                </c:pt>
                <c:pt idx="16">
                  <c:v>0</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4-0CC3-4F29-BBE2-F0F5A5A1BE91}"/>
            </c:ext>
          </c:extLst>
        </c:ser>
        <c:ser>
          <c:idx val="1"/>
          <c:order val="5"/>
          <c:tx>
            <c:strRef>
              <c:f>'High Case'!$A$593</c:f>
              <c:strCache>
                <c:ptCount val="1"/>
                <c:pt idx="0">
                  <c:v>Rehabilitation &amp; Environmental and Closure</c:v>
                </c:pt>
              </c:strCache>
            </c:strRef>
          </c:tx>
          <c:spPr>
            <a:solidFill>
              <a:schemeClr val="accent3">
                <a:lumMod val="40000"/>
                <a:lumOff val="60000"/>
              </a:schemeClr>
            </a:solidFill>
          </c:spPr>
          <c:invertIfNegative val="0"/>
          <c:cat>
            <c:numRef>
              <c:f>'High Case'!$D$94:$AD$94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'High Case'!$D$593:$AD$593</c:f>
              <c:numCache>
                <c:formatCode>#,##0</c:formatCode>
                <c:ptCount val="27"/>
                <c:pt idx="0">
                  <c:v>0</c:v>
                </c:pt>
                <c:pt idx="1">
                  <c:v>11.1</c:v>
                </c:pt>
                <c:pt idx="2">
                  <c:v>16.684615384615384</c:v>
                </c:pt>
                <c:pt idx="3">
                  <c:v>19.3</c:v>
                </c:pt>
                <c:pt idx="4">
                  <c:v>26.8</c:v>
                </c:pt>
                <c:pt idx="5">
                  <c:v>26.8</c:v>
                </c:pt>
                <c:pt idx="6">
                  <c:v>36.180769230769229</c:v>
                </c:pt>
                <c:pt idx="7">
                  <c:v>35.419230769230765</c:v>
                </c:pt>
                <c:pt idx="8">
                  <c:v>35.799999999999997</c:v>
                </c:pt>
                <c:pt idx="9">
                  <c:v>35.799999999999997</c:v>
                </c:pt>
                <c:pt idx="10">
                  <c:v>35.799999999999997</c:v>
                </c:pt>
                <c:pt idx="11">
                  <c:v>35.799999999999997</c:v>
                </c:pt>
                <c:pt idx="12">
                  <c:v>35.799999999999997</c:v>
                </c:pt>
                <c:pt idx="13">
                  <c:v>28.3</c:v>
                </c:pt>
                <c:pt idx="14">
                  <c:v>28.3</c:v>
                </c:pt>
                <c:pt idx="15">
                  <c:v>23.8</c:v>
                </c:pt>
                <c:pt idx="16">
                  <c:v>329.81538461538463</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5-0CC3-4F29-BBE2-F0F5A5A1BE91}"/>
            </c:ext>
          </c:extLst>
        </c:ser>
        <c:dLbls>
          <c:showLegendKey val="0"/>
          <c:showVal val="0"/>
          <c:showCatName val="0"/>
          <c:showSerName val="0"/>
          <c:showPercent val="0"/>
          <c:showBubbleSize val="0"/>
        </c:dLbls>
        <c:gapWidth val="0"/>
        <c:overlap val="100"/>
        <c:axId val="371398232"/>
        <c:axId val="371398624"/>
      </c:barChart>
      <c:catAx>
        <c:axId val="371398232"/>
        <c:scaling>
          <c:orientation val="minMax"/>
        </c:scaling>
        <c:delete val="0"/>
        <c:axPos val="b"/>
        <c:numFmt formatCode="0" sourceLinked="1"/>
        <c:majorTickMark val="out"/>
        <c:minorTickMark val="none"/>
        <c:tickLblPos val="nextTo"/>
        <c:txPr>
          <a:bodyPr/>
          <a:lstStyle/>
          <a:p>
            <a:pPr>
              <a:defRPr sz="1000" b="0"/>
            </a:pPr>
            <a:endParaRPr lang="en-US"/>
          </a:p>
        </c:txPr>
        <c:crossAx val="371398624"/>
        <c:crosses val="autoZero"/>
        <c:auto val="1"/>
        <c:lblAlgn val="ctr"/>
        <c:lblOffset val="100"/>
        <c:noMultiLvlLbl val="0"/>
      </c:catAx>
      <c:valAx>
        <c:axId val="371398624"/>
        <c:scaling>
          <c:orientation val="minMax"/>
        </c:scaling>
        <c:delete val="0"/>
        <c:axPos val="l"/>
        <c:majorGridlines/>
        <c:title>
          <c:tx>
            <c:rich>
              <a:bodyPr rot="-5400000" vert="horz"/>
              <a:lstStyle/>
              <a:p>
                <a:pPr>
                  <a:defRPr sz="1200" b="0"/>
                </a:pPr>
                <a:r>
                  <a:rPr lang="en-US" sz="1200" b="0"/>
                  <a:t>A$ millions Real</a:t>
                </a:r>
              </a:p>
            </c:rich>
          </c:tx>
          <c:layout>
            <c:manualLayout>
              <c:xMode val="edge"/>
              <c:yMode val="edge"/>
              <c:x val="1.238967672038538E-2"/>
              <c:y val="0.22830715681357838"/>
            </c:manualLayout>
          </c:layout>
          <c:overlay val="0"/>
        </c:title>
        <c:numFmt formatCode="#,##0" sourceLinked="0"/>
        <c:majorTickMark val="out"/>
        <c:minorTickMark val="none"/>
        <c:tickLblPos val="nextTo"/>
        <c:txPr>
          <a:bodyPr/>
          <a:lstStyle/>
          <a:p>
            <a:pPr>
              <a:defRPr sz="1000" b="0"/>
            </a:pPr>
            <a:endParaRPr lang="en-US"/>
          </a:p>
        </c:txPr>
        <c:crossAx val="371398232"/>
        <c:crosses val="autoZero"/>
        <c:crossBetween val="between"/>
      </c:valAx>
    </c:plotArea>
    <c:legend>
      <c:legendPos val="b"/>
      <c:layout>
        <c:manualLayout>
          <c:xMode val="edge"/>
          <c:yMode val="edge"/>
          <c:x val="0"/>
          <c:y val="0.73780879443511849"/>
          <c:w val="0.99812904616073328"/>
          <c:h val="0.2621912055648814"/>
        </c:manualLayout>
      </c:layout>
      <c:overlay val="0"/>
      <c:txPr>
        <a:bodyPr/>
        <a:lstStyle/>
        <a:p>
          <a:pPr>
            <a:defRPr sz="1000" b="0"/>
          </a:pPr>
          <a:endParaRPr lang="en-US"/>
        </a:p>
      </c:txPr>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Capex</a:t>
            </a:r>
          </a:p>
        </c:rich>
      </c:tx>
      <c:overlay val="1"/>
    </c:title>
    <c:autoTitleDeleted val="0"/>
    <c:plotArea>
      <c:layout>
        <c:manualLayout>
          <c:layoutTarget val="inner"/>
          <c:xMode val="edge"/>
          <c:yMode val="edge"/>
          <c:x val="0.15254090904914597"/>
          <c:y val="0.16988953377835198"/>
          <c:w val="0.8020285008131276"/>
          <c:h val="0.52768813734348818"/>
        </c:manualLayout>
      </c:layout>
      <c:barChart>
        <c:barDir val="col"/>
        <c:grouping val="stacked"/>
        <c:varyColors val="0"/>
        <c:ser>
          <c:idx val="0"/>
          <c:order val="0"/>
          <c:tx>
            <c:strRef>
              <c:f>'High Case'!$A$346</c:f>
              <c:strCache>
                <c:ptCount val="1"/>
                <c:pt idx="0">
                  <c:v>Initial capex - High Case</c:v>
                </c:pt>
              </c:strCache>
            </c:strRef>
          </c:tx>
          <c:spPr>
            <a:solidFill>
              <a:srgbClr val="66CCFF"/>
            </a:solidFill>
            <a:ln>
              <a:noFill/>
            </a:ln>
          </c:spPr>
          <c:invertIfNegative val="0"/>
          <c:cat>
            <c:numRef>
              <c:f>'High Case'!$D$94:$N$94</c:f>
              <c:numCache>
                <c:formatCode>0</c:formatCode>
                <c:ptCount val="11"/>
                <c:pt idx="0">
                  <c:v>2027</c:v>
                </c:pt>
                <c:pt idx="1">
                  <c:v>2028</c:v>
                </c:pt>
                <c:pt idx="2">
                  <c:v>2029</c:v>
                </c:pt>
                <c:pt idx="3">
                  <c:v>2030</c:v>
                </c:pt>
                <c:pt idx="4">
                  <c:v>2031</c:v>
                </c:pt>
                <c:pt idx="5">
                  <c:v>2032</c:v>
                </c:pt>
                <c:pt idx="6">
                  <c:v>2033</c:v>
                </c:pt>
                <c:pt idx="7">
                  <c:v>2034</c:v>
                </c:pt>
                <c:pt idx="8">
                  <c:v>2035</c:v>
                </c:pt>
                <c:pt idx="9">
                  <c:v>2036</c:v>
                </c:pt>
                <c:pt idx="10">
                  <c:v>2037</c:v>
                </c:pt>
              </c:numCache>
            </c:numRef>
          </c:cat>
          <c:val>
            <c:numRef>
              <c:f>'High Case'!$D$346:$N$346</c:f>
              <c:numCache>
                <c:formatCode>#,##0</c:formatCode>
                <c:ptCount val="11"/>
                <c:pt idx="0">
                  <c:v>265</c:v>
                </c:pt>
                <c:pt idx="1">
                  <c:v>500</c:v>
                </c:pt>
                <c:pt idx="2">
                  <c:v>63</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55C3-4328-935F-6ACC7561979A}"/>
            </c:ext>
          </c:extLst>
        </c:ser>
        <c:ser>
          <c:idx val="1"/>
          <c:order val="1"/>
          <c:tx>
            <c:strRef>
              <c:f>'High Case'!$A$354</c:f>
              <c:strCache>
                <c:ptCount val="1"/>
                <c:pt idx="0">
                  <c:v>ongoing capex</c:v>
                </c:pt>
              </c:strCache>
            </c:strRef>
          </c:tx>
          <c:spPr>
            <a:solidFill>
              <a:srgbClr val="0070C0"/>
            </a:solidFill>
          </c:spPr>
          <c:invertIfNegative val="0"/>
          <c:cat>
            <c:numRef>
              <c:f>'High Case'!$D$94:$N$94</c:f>
              <c:numCache>
                <c:formatCode>0</c:formatCode>
                <c:ptCount val="11"/>
                <c:pt idx="0">
                  <c:v>2027</c:v>
                </c:pt>
                <c:pt idx="1">
                  <c:v>2028</c:v>
                </c:pt>
                <c:pt idx="2">
                  <c:v>2029</c:v>
                </c:pt>
                <c:pt idx="3">
                  <c:v>2030</c:v>
                </c:pt>
                <c:pt idx="4">
                  <c:v>2031</c:v>
                </c:pt>
                <c:pt idx="5">
                  <c:v>2032</c:v>
                </c:pt>
                <c:pt idx="6">
                  <c:v>2033</c:v>
                </c:pt>
                <c:pt idx="7">
                  <c:v>2034</c:v>
                </c:pt>
                <c:pt idx="8">
                  <c:v>2035</c:v>
                </c:pt>
                <c:pt idx="9">
                  <c:v>2036</c:v>
                </c:pt>
                <c:pt idx="10">
                  <c:v>2037</c:v>
                </c:pt>
              </c:numCache>
            </c:numRef>
          </c:cat>
          <c:val>
            <c:numRef>
              <c:f>'High Case'!$D$354:$N$354</c:f>
              <c:numCache>
                <c:formatCode>#,##0</c:formatCode>
                <c:ptCount val="11"/>
                <c:pt idx="0">
                  <c:v>0</c:v>
                </c:pt>
                <c:pt idx="1">
                  <c:v>0</c:v>
                </c:pt>
                <c:pt idx="2">
                  <c:v>24.84</c:v>
                </c:pt>
                <c:pt idx="3">
                  <c:v>24.84</c:v>
                </c:pt>
                <c:pt idx="4">
                  <c:v>24.84</c:v>
                </c:pt>
                <c:pt idx="5">
                  <c:v>49.84</c:v>
                </c:pt>
                <c:pt idx="6">
                  <c:v>24.84</c:v>
                </c:pt>
                <c:pt idx="7">
                  <c:v>24.84</c:v>
                </c:pt>
                <c:pt idx="8">
                  <c:v>24.84</c:v>
                </c:pt>
                <c:pt idx="9">
                  <c:v>44.84</c:v>
                </c:pt>
                <c:pt idx="10">
                  <c:v>24.84</c:v>
                </c:pt>
              </c:numCache>
            </c:numRef>
          </c:val>
          <c:extLst>
            <c:ext xmlns:c16="http://schemas.microsoft.com/office/drawing/2014/chart" uri="{C3380CC4-5D6E-409C-BE32-E72D297353CC}">
              <c16:uniqueId val="{00000001-55C3-4328-935F-6ACC7561979A}"/>
            </c:ext>
          </c:extLst>
        </c:ser>
        <c:dLbls>
          <c:showLegendKey val="0"/>
          <c:showVal val="0"/>
          <c:showCatName val="0"/>
          <c:showSerName val="0"/>
          <c:showPercent val="0"/>
          <c:showBubbleSize val="0"/>
        </c:dLbls>
        <c:gapWidth val="0"/>
        <c:overlap val="100"/>
        <c:axId val="371401760"/>
        <c:axId val="371402152"/>
      </c:barChart>
      <c:catAx>
        <c:axId val="371401760"/>
        <c:scaling>
          <c:orientation val="minMax"/>
        </c:scaling>
        <c:delete val="0"/>
        <c:axPos val="b"/>
        <c:numFmt formatCode="0" sourceLinked="1"/>
        <c:majorTickMark val="out"/>
        <c:minorTickMark val="none"/>
        <c:tickLblPos val="nextTo"/>
        <c:txPr>
          <a:bodyPr/>
          <a:lstStyle/>
          <a:p>
            <a:pPr>
              <a:defRPr sz="1000" b="0"/>
            </a:pPr>
            <a:endParaRPr lang="en-US"/>
          </a:p>
        </c:txPr>
        <c:crossAx val="371402152"/>
        <c:crosses val="autoZero"/>
        <c:auto val="1"/>
        <c:lblAlgn val="ctr"/>
        <c:lblOffset val="100"/>
        <c:noMultiLvlLbl val="0"/>
      </c:catAx>
      <c:valAx>
        <c:axId val="371402152"/>
        <c:scaling>
          <c:orientation val="minMax"/>
        </c:scaling>
        <c:delete val="0"/>
        <c:axPos val="l"/>
        <c:majorGridlines/>
        <c:title>
          <c:tx>
            <c:rich>
              <a:bodyPr rot="-5400000" vert="horz"/>
              <a:lstStyle/>
              <a:p>
                <a:pPr>
                  <a:defRPr sz="1200" b="0"/>
                </a:pPr>
                <a:r>
                  <a:rPr lang="en-US" sz="1200" b="0"/>
                  <a:t>A$ million</a:t>
                </a:r>
              </a:p>
            </c:rich>
          </c:tx>
          <c:layout>
            <c:manualLayout>
              <c:xMode val="edge"/>
              <c:yMode val="edge"/>
              <c:x val="7.8328924202730656E-3"/>
              <c:y val="0.19222623142763953"/>
            </c:manualLayout>
          </c:layout>
          <c:overlay val="0"/>
        </c:title>
        <c:numFmt formatCode="#,##0" sourceLinked="1"/>
        <c:majorTickMark val="out"/>
        <c:minorTickMark val="none"/>
        <c:tickLblPos val="nextTo"/>
        <c:txPr>
          <a:bodyPr/>
          <a:lstStyle/>
          <a:p>
            <a:pPr>
              <a:defRPr sz="1000" b="0"/>
            </a:pPr>
            <a:endParaRPr lang="en-US"/>
          </a:p>
        </c:txPr>
        <c:crossAx val="371401760"/>
        <c:crosses val="autoZero"/>
        <c:crossBetween val="between"/>
      </c:valAx>
    </c:plotArea>
    <c:legend>
      <c:legendPos val="b"/>
      <c:layout>
        <c:manualLayout>
          <c:xMode val="edge"/>
          <c:yMode val="edge"/>
          <c:x val="1.0720428857831884E-2"/>
          <c:y val="0.87993469958010351"/>
          <c:w val="0.97113868146555493"/>
          <c:h val="0.12006530041989689"/>
        </c:manualLayout>
      </c:layout>
      <c:overlay val="0"/>
      <c:txPr>
        <a:bodyPr/>
        <a:lstStyle/>
        <a:p>
          <a:pPr>
            <a:defRPr sz="1000" b="0"/>
          </a:pPr>
          <a:endParaRPr lang="en-US"/>
        </a:p>
      </c:txPr>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Taxes</a:t>
            </a:r>
          </a:p>
        </c:rich>
      </c:tx>
      <c:layout>
        <c:manualLayout>
          <c:xMode val="edge"/>
          <c:yMode val="edge"/>
          <c:x val="0.17684450291593851"/>
          <c:y val="6.4009256907402695E-2"/>
        </c:manualLayout>
      </c:layout>
      <c:overlay val="1"/>
    </c:title>
    <c:autoTitleDeleted val="0"/>
    <c:plotArea>
      <c:layout>
        <c:manualLayout>
          <c:layoutTarget val="inner"/>
          <c:xMode val="edge"/>
          <c:yMode val="edge"/>
          <c:x val="0.15936474354257119"/>
          <c:y val="4.8353794485366745E-2"/>
          <c:w val="0.75040069173596291"/>
          <c:h val="0.49929895859791718"/>
        </c:manualLayout>
      </c:layout>
      <c:barChart>
        <c:barDir val="col"/>
        <c:grouping val="stacked"/>
        <c:varyColors val="0"/>
        <c:ser>
          <c:idx val="0"/>
          <c:order val="0"/>
          <c:tx>
            <c:strRef>
              <c:f>'High Case'!$A$679</c:f>
              <c:strCache>
                <c:ptCount val="1"/>
                <c:pt idx="0">
                  <c:v>Royalty - copper</c:v>
                </c:pt>
              </c:strCache>
            </c:strRef>
          </c:tx>
          <c:spPr>
            <a:solidFill>
              <a:srgbClr val="FF9900"/>
            </a:solidFill>
            <a:ln>
              <a:noFill/>
            </a:ln>
          </c:spPr>
          <c:invertIfNegative val="0"/>
          <c:cat>
            <c:numRef>
              <c:f>'High Case'!$D$764:$AD$764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'High Case'!$D$679:$AD$679</c:f>
              <c:numCache>
                <c:formatCode>#,##0</c:formatCode>
                <c:ptCount val="27"/>
                <c:pt idx="0">
                  <c:v>0</c:v>
                </c:pt>
                <c:pt idx="1">
                  <c:v>0</c:v>
                </c:pt>
                <c:pt idx="2">
                  <c:v>39.649039596688915</c:v>
                </c:pt>
                <c:pt idx="3">
                  <c:v>70.767560142781292</c:v>
                </c:pt>
                <c:pt idx="4">
                  <c:v>75.535995614373164</c:v>
                </c:pt>
                <c:pt idx="5">
                  <c:v>75.526902131458755</c:v>
                </c:pt>
                <c:pt idx="6">
                  <c:v>78.219766230283952</c:v>
                </c:pt>
                <c:pt idx="7">
                  <c:v>71.796199057009488</c:v>
                </c:pt>
                <c:pt idx="8">
                  <c:v>71.352184426962054</c:v>
                </c:pt>
                <c:pt idx="9">
                  <c:v>71.557859206610672</c:v>
                </c:pt>
                <c:pt idx="10">
                  <c:v>71.548799642902921</c:v>
                </c:pt>
                <c:pt idx="11">
                  <c:v>71.53964948355808</c:v>
                </c:pt>
                <c:pt idx="12">
                  <c:v>71.755408373918272</c:v>
                </c:pt>
                <c:pt idx="13">
                  <c:v>69.618410418721098</c:v>
                </c:pt>
                <c:pt idx="14">
                  <c:v>69.154119524768262</c:v>
                </c:pt>
                <c:pt idx="15">
                  <c:v>69.144911734212641</c:v>
                </c:pt>
                <c:pt idx="16">
                  <c:v>89.078576827025955</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0-F144-4715-87ED-71FB53ACFBC4}"/>
            </c:ext>
          </c:extLst>
        </c:ser>
        <c:ser>
          <c:idx val="2"/>
          <c:order val="1"/>
          <c:tx>
            <c:strRef>
              <c:f>'High Case'!$A$684</c:f>
              <c:strCache>
                <c:ptCount val="1"/>
                <c:pt idx="0">
                  <c:v>Royalty - moly</c:v>
                </c:pt>
              </c:strCache>
            </c:strRef>
          </c:tx>
          <c:spPr>
            <a:solidFill>
              <a:schemeClr val="accent4">
                <a:lumMod val="75000"/>
              </a:schemeClr>
            </a:solidFill>
          </c:spPr>
          <c:invertIfNegative val="0"/>
          <c:val>
            <c:numRef>
              <c:f>'High Case'!$D$684:$AD$684</c:f>
              <c:numCache>
                <c:formatCode>#,##0.0</c:formatCode>
                <c:ptCount val="27"/>
                <c:pt idx="0">
                  <c:v>0</c:v>
                </c:pt>
                <c:pt idx="1">
                  <c:v>0</c:v>
                </c:pt>
                <c:pt idx="2">
                  <c:v>5.0022243550295844</c:v>
                </c:pt>
                <c:pt idx="3">
                  <c:v>9.3829602295857963</c:v>
                </c:pt>
                <c:pt idx="4">
                  <c:v>10.246980799999998</c:v>
                </c:pt>
                <c:pt idx="5">
                  <c:v>10.246980799999998</c:v>
                </c:pt>
                <c:pt idx="6">
                  <c:v>10.588041551479288</c:v>
                </c:pt>
                <c:pt idx="7">
                  <c:v>7.6208130136094674</c:v>
                </c:pt>
                <c:pt idx="8">
                  <c:v>4.5020019195266263</c:v>
                </c:pt>
                <c:pt idx="9">
                  <c:v>3.8426178000000002</c:v>
                </c:pt>
                <c:pt idx="10">
                  <c:v>3.8426178000000002</c:v>
                </c:pt>
                <c:pt idx="11">
                  <c:v>3.8426178000000002</c:v>
                </c:pt>
                <c:pt idx="12">
                  <c:v>5.1727547307692312</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1-F144-4715-87ED-71FB53ACFBC4}"/>
            </c:ext>
          </c:extLst>
        </c:ser>
        <c:ser>
          <c:idx val="3"/>
          <c:order val="2"/>
          <c:tx>
            <c:strRef>
              <c:f>'High Case'!$A$689</c:f>
              <c:strCache>
                <c:ptCount val="1"/>
                <c:pt idx="0">
                  <c:v>Royalty - gold</c:v>
                </c:pt>
              </c:strCache>
            </c:strRef>
          </c:tx>
          <c:spPr>
            <a:solidFill>
              <a:srgbClr val="FFFF00"/>
            </a:solidFill>
          </c:spPr>
          <c:invertIfNegative val="0"/>
          <c:val>
            <c:numRef>
              <c:f>'High Case'!$D$689:$AD$689</c:f>
              <c:numCache>
                <c:formatCode>#,##0.0</c:formatCode>
                <c:ptCount val="27"/>
                <c:pt idx="0">
                  <c:v>0</c:v>
                </c:pt>
                <c:pt idx="1">
                  <c:v>0</c:v>
                </c:pt>
                <c:pt idx="2">
                  <c:v>3.0112052732801868</c:v>
                </c:pt>
                <c:pt idx="3">
                  <c:v>5.3751817880329185</c:v>
                </c:pt>
                <c:pt idx="4">
                  <c:v>5.7380543051089665</c:v>
                </c:pt>
                <c:pt idx="5">
                  <c:v>5.7380543051089665</c:v>
                </c:pt>
                <c:pt idx="6">
                  <c:v>5.9433637555598882</c:v>
                </c:pt>
                <c:pt idx="7">
                  <c:v>5.2812342669851446</c:v>
                </c:pt>
                <c:pt idx="8">
                  <c:v>5.0707486400204198</c:v>
                </c:pt>
                <c:pt idx="9">
                  <c:v>5.0860026795284021</c:v>
                </c:pt>
                <c:pt idx="10">
                  <c:v>5.0860026795284021</c:v>
                </c:pt>
                <c:pt idx="11">
                  <c:v>5.0860026795284021</c:v>
                </c:pt>
                <c:pt idx="12">
                  <c:v>5.1277793489760706</c:v>
                </c:pt>
                <c:pt idx="13">
                  <c:v>4.725668744292129</c:v>
                </c:pt>
                <c:pt idx="14">
                  <c:v>4.6947717041800647</c:v>
                </c:pt>
                <c:pt idx="15">
                  <c:v>4.6947717041800647</c:v>
                </c:pt>
                <c:pt idx="16">
                  <c:v>6.0490327726935469</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2-F144-4715-87ED-71FB53ACFBC4}"/>
            </c:ext>
          </c:extLst>
        </c:ser>
        <c:ser>
          <c:idx val="4"/>
          <c:order val="3"/>
          <c:tx>
            <c:strRef>
              <c:f>'High Case'!$A$694</c:f>
              <c:strCache>
                <c:ptCount val="1"/>
                <c:pt idx="0">
                  <c:v>Royalty - silver</c:v>
                </c:pt>
              </c:strCache>
            </c:strRef>
          </c:tx>
          <c:spPr>
            <a:solidFill>
              <a:schemeClr val="bg1">
                <a:lumMod val="85000"/>
              </a:schemeClr>
            </a:solidFill>
          </c:spPr>
          <c:invertIfNegative val="0"/>
          <c:val>
            <c:numRef>
              <c:f>'High Case'!$D$694:$AD$694</c:f>
              <c:numCache>
                <c:formatCode>#,##0.0</c:formatCode>
                <c:ptCount val="27"/>
                <c:pt idx="0">
                  <c:v>0</c:v>
                </c:pt>
                <c:pt idx="1">
                  <c:v>0</c:v>
                </c:pt>
                <c:pt idx="2">
                  <c:v>5.318680450664047E-2</c:v>
                </c:pt>
                <c:pt idx="3">
                  <c:v>9.4941632005158746E-2</c:v>
                </c:pt>
                <c:pt idx="4">
                  <c:v>0.10135103550807315</c:v>
                </c:pt>
                <c:pt idx="5">
                  <c:v>0.10135103550807315</c:v>
                </c:pt>
                <c:pt idx="6">
                  <c:v>0.10497740854261685</c:v>
                </c:pt>
                <c:pt idx="7">
                  <c:v>1.8969526310115017E-2</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3-F144-4715-87ED-71FB53ACFBC4}"/>
            </c:ext>
          </c:extLst>
        </c:ser>
        <c:ser>
          <c:idx val="1"/>
          <c:order val="4"/>
          <c:tx>
            <c:strRef>
              <c:f>'High Case'!$A$735</c:f>
              <c:strCache>
                <c:ptCount val="1"/>
                <c:pt idx="0">
                  <c:v>Income Tax - National</c:v>
                </c:pt>
              </c:strCache>
            </c:strRef>
          </c:tx>
          <c:spPr>
            <a:solidFill>
              <a:srgbClr val="FF0000"/>
            </a:solidFill>
          </c:spPr>
          <c:invertIfNegative val="0"/>
          <c:cat>
            <c:numRef>
              <c:f>'High Case'!$D$764:$AD$764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'High Case'!$D$735:$AD$735</c:f>
              <c:numCache>
                <c:formatCode>#,##0</c:formatCode>
                <c:ptCount val="27"/>
                <c:pt idx="0">
                  <c:v>0</c:v>
                </c:pt>
                <c:pt idx="1">
                  <c:v>0</c:v>
                </c:pt>
                <c:pt idx="2">
                  <c:v>0</c:v>
                </c:pt>
                <c:pt idx="3">
                  <c:v>56.689727466139118</c:v>
                </c:pt>
                <c:pt idx="4">
                  <c:v>116.64955963816844</c:v>
                </c:pt>
                <c:pt idx="5">
                  <c:v>122.65975401282041</c:v>
                </c:pt>
                <c:pt idx="6">
                  <c:v>106.87923773984879</c:v>
                </c:pt>
                <c:pt idx="7">
                  <c:v>78.875912992646207</c:v>
                </c:pt>
                <c:pt idx="8">
                  <c:v>61.967384115699232</c:v>
                </c:pt>
                <c:pt idx="9">
                  <c:v>58.809434293221514</c:v>
                </c:pt>
                <c:pt idx="10">
                  <c:v>58.792109801573744</c:v>
                </c:pt>
                <c:pt idx="11">
                  <c:v>58.409304256386164</c:v>
                </c:pt>
                <c:pt idx="12">
                  <c:v>64.932684707604281</c:v>
                </c:pt>
                <c:pt idx="13">
                  <c:v>56.951963330842247</c:v>
                </c:pt>
                <c:pt idx="14">
                  <c:v>55.308421488015838</c:v>
                </c:pt>
                <c:pt idx="15">
                  <c:v>71.238530738303339</c:v>
                </c:pt>
                <c:pt idx="16">
                  <c:v>61.331334571136452</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4-F144-4715-87ED-71FB53ACFBC4}"/>
            </c:ext>
          </c:extLst>
        </c:ser>
        <c:dLbls>
          <c:showLegendKey val="0"/>
          <c:showVal val="0"/>
          <c:showCatName val="0"/>
          <c:showSerName val="0"/>
          <c:showPercent val="0"/>
          <c:showBubbleSize val="0"/>
        </c:dLbls>
        <c:gapWidth val="0"/>
        <c:overlap val="100"/>
        <c:axId val="371402936"/>
        <c:axId val="371399016"/>
      </c:barChart>
      <c:catAx>
        <c:axId val="371402936"/>
        <c:scaling>
          <c:orientation val="minMax"/>
        </c:scaling>
        <c:delete val="0"/>
        <c:axPos val="b"/>
        <c:numFmt formatCode="0" sourceLinked="1"/>
        <c:majorTickMark val="out"/>
        <c:minorTickMark val="none"/>
        <c:tickLblPos val="nextTo"/>
        <c:txPr>
          <a:bodyPr/>
          <a:lstStyle/>
          <a:p>
            <a:pPr>
              <a:defRPr sz="1000" b="0"/>
            </a:pPr>
            <a:endParaRPr lang="en-US"/>
          </a:p>
        </c:txPr>
        <c:crossAx val="371399016"/>
        <c:crosses val="autoZero"/>
        <c:auto val="1"/>
        <c:lblAlgn val="ctr"/>
        <c:lblOffset val="100"/>
        <c:noMultiLvlLbl val="0"/>
      </c:catAx>
      <c:valAx>
        <c:axId val="371399016"/>
        <c:scaling>
          <c:orientation val="minMax"/>
        </c:scaling>
        <c:delete val="0"/>
        <c:axPos val="l"/>
        <c:majorGridlines/>
        <c:title>
          <c:tx>
            <c:rich>
              <a:bodyPr rot="-5400000" vert="horz"/>
              <a:lstStyle/>
              <a:p>
                <a:pPr>
                  <a:defRPr sz="1200" b="0"/>
                </a:pPr>
                <a:r>
                  <a:rPr lang="en-US" sz="1200" b="0"/>
                  <a:t>A$ millions</a:t>
                </a:r>
              </a:p>
            </c:rich>
          </c:tx>
          <c:layout>
            <c:manualLayout>
              <c:xMode val="edge"/>
              <c:yMode val="edge"/>
              <c:x val="1.2398447273530061E-2"/>
              <c:y val="0.16465181629248016"/>
            </c:manualLayout>
          </c:layout>
          <c:overlay val="0"/>
        </c:title>
        <c:numFmt formatCode="#,##0" sourceLinked="1"/>
        <c:majorTickMark val="out"/>
        <c:minorTickMark val="none"/>
        <c:tickLblPos val="nextTo"/>
        <c:txPr>
          <a:bodyPr/>
          <a:lstStyle/>
          <a:p>
            <a:pPr>
              <a:defRPr sz="1000" b="0"/>
            </a:pPr>
            <a:endParaRPr lang="en-US"/>
          </a:p>
        </c:txPr>
        <c:crossAx val="371402936"/>
        <c:crosses val="autoZero"/>
        <c:crossBetween val="between"/>
      </c:valAx>
    </c:plotArea>
    <c:legend>
      <c:legendPos val="b"/>
      <c:layout>
        <c:manualLayout>
          <c:xMode val="edge"/>
          <c:yMode val="edge"/>
          <c:x val="2.7008332187902939E-2"/>
          <c:y val="0.72157367425845964"/>
          <c:w val="0.93731471845321079"/>
          <c:h val="0.27842632574154036"/>
        </c:manualLayout>
      </c:layout>
      <c:overlay val="0"/>
      <c:txPr>
        <a:bodyPr/>
        <a:lstStyle/>
        <a:p>
          <a:pPr>
            <a:defRPr sz="1000" b="0"/>
          </a:pPr>
          <a:endParaRPr lang="en-US"/>
        </a:p>
      </c:txPr>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600" b="1" i="0" u="none" strike="noStrike" kern="1200" baseline="0">
                <a:solidFill>
                  <a:sysClr val="windowText" lastClr="000000"/>
                </a:solidFill>
                <a:latin typeface="+mn-lt"/>
                <a:ea typeface="+mn-ea"/>
                <a:cs typeface="+mn-cs"/>
              </a:defRPr>
            </a:pPr>
            <a:r>
              <a:rPr lang="en-US" sz="1600" b="1" i="0" u="none" strike="noStrike" kern="1200" baseline="0">
                <a:solidFill>
                  <a:sysClr val="windowText" lastClr="000000"/>
                </a:solidFill>
                <a:latin typeface="+mn-lt"/>
                <a:ea typeface="+mn-ea"/>
                <a:cs typeface="+mn-cs"/>
              </a:rPr>
              <a:t>Processing</a:t>
            </a:r>
          </a:p>
        </c:rich>
      </c:tx>
      <c:layout>
        <c:manualLayout>
          <c:xMode val="edge"/>
          <c:yMode val="edge"/>
          <c:x val="0.23736208441087681"/>
          <c:y val="2.0935408906038341E-2"/>
        </c:manualLayout>
      </c:layout>
      <c:overlay val="1"/>
    </c:title>
    <c:autoTitleDeleted val="0"/>
    <c:plotArea>
      <c:layout>
        <c:manualLayout>
          <c:layoutTarget val="inner"/>
          <c:xMode val="edge"/>
          <c:yMode val="edge"/>
          <c:x val="0.1628365632422254"/>
          <c:y val="9.7587669453689477E-2"/>
          <c:w val="0.70095679006338318"/>
          <c:h val="0.48627627416291447"/>
        </c:manualLayout>
      </c:layout>
      <c:barChart>
        <c:barDir val="col"/>
        <c:grouping val="clustered"/>
        <c:varyColors val="0"/>
        <c:ser>
          <c:idx val="0"/>
          <c:order val="0"/>
          <c:tx>
            <c:strRef>
              <c:f>'High Case'!$A$154</c:f>
              <c:strCache>
                <c:ptCount val="1"/>
                <c:pt idx="0">
                  <c:v>ore feed to processing - aggregate</c:v>
                </c:pt>
              </c:strCache>
            </c:strRef>
          </c:tx>
          <c:spPr>
            <a:solidFill>
              <a:schemeClr val="accent3">
                <a:lumMod val="40000"/>
                <a:lumOff val="60000"/>
              </a:schemeClr>
            </a:solidFill>
            <a:ln>
              <a:noFill/>
            </a:ln>
          </c:spPr>
          <c:invertIfNegative val="0"/>
          <c:cat>
            <c:numRef>
              <c:f>'High Case'!$D$764:$AD$764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'High Case'!$D$154:$AD$154</c:f>
              <c:numCache>
                <c:formatCode>#,##0</c:formatCode>
                <c:ptCount val="27"/>
                <c:pt idx="2" formatCode="#,##0.0">
                  <c:v>5.0769230769230766</c:v>
                </c:pt>
                <c:pt idx="3" formatCode="#,##0.0">
                  <c:v>8</c:v>
                </c:pt>
                <c:pt idx="4" formatCode="#,##0.0">
                  <c:v>8</c:v>
                </c:pt>
                <c:pt idx="5" formatCode="#,##0.0">
                  <c:v>8</c:v>
                </c:pt>
                <c:pt idx="6" formatCode="#,##0.0">
                  <c:v>8.3461538461538467</c:v>
                </c:pt>
                <c:pt idx="7" formatCode="#,##0.0">
                  <c:v>7.6538461538461533</c:v>
                </c:pt>
                <c:pt idx="8" formatCode="#,##0.0">
                  <c:v>8</c:v>
                </c:pt>
                <c:pt idx="9" formatCode="#,##0.0">
                  <c:v>8</c:v>
                </c:pt>
                <c:pt idx="10" formatCode="#,##0.0">
                  <c:v>8</c:v>
                </c:pt>
                <c:pt idx="11" formatCode="#,##0.0">
                  <c:v>8</c:v>
                </c:pt>
                <c:pt idx="12" formatCode="#,##0.0">
                  <c:v>8</c:v>
                </c:pt>
                <c:pt idx="13" formatCode="#,##0.0">
                  <c:v>8</c:v>
                </c:pt>
                <c:pt idx="14" formatCode="#,##0.0">
                  <c:v>8</c:v>
                </c:pt>
                <c:pt idx="15" formatCode="#,##0.0">
                  <c:v>8</c:v>
                </c:pt>
                <c:pt idx="16" formatCode="#,##0.0">
                  <c:v>8.9230769230769234</c:v>
                </c:pt>
                <c:pt idx="17" formatCode="#,##0.0">
                  <c:v>0</c:v>
                </c:pt>
                <c:pt idx="18" formatCode="#,##0.0">
                  <c:v>0</c:v>
                </c:pt>
                <c:pt idx="19" formatCode="#,##0.0">
                  <c:v>0</c:v>
                </c:pt>
                <c:pt idx="20" formatCode="#,##0.0">
                  <c:v>0</c:v>
                </c:pt>
                <c:pt idx="21" formatCode="#,##0.0">
                  <c:v>0</c:v>
                </c:pt>
                <c:pt idx="22" formatCode="#,##0.0">
                  <c:v>0</c:v>
                </c:pt>
                <c:pt idx="23" formatCode="#,##0.0">
                  <c:v>0</c:v>
                </c:pt>
                <c:pt idx="24" formatCode="#,##0.0">
                  <c:v>0</c:v>
                </c:pt>
                <c:pt idx="25" formatCode="#,##0.0">
                  <c:v>0</c:v>
                </c:pt>
                <c:pt idx="26" formatCode="#,##0.0">
                  <c:v>0</c:v>
                </c:pt>
              </c:numCache>
            </c:numRef>
          </c:val>
          <c:extLst>
            <c:ext xmlns:c16="http://schemas.microsoft.com/office/drawing/2014/chart" uri="{C3380CC4-5D6E-409C-BE32-E72D297353CC}">
              <c16:uniqueId val="{00000000-26CC-42D4-B48B-88CF4D730E83}"/>
            </c:ext>
          </c:extLst>
        </c:ser>
        <c:dLbls>
          <c:showLegendKey val="0"/>
          <c:showVal val="0"/>
          <c:showCatName val="0"/>
          <c:showSerName val="0"/>
          <c:showPercent val="0"/>
          <c:showBubbleSize val="0"/>
        </c:dLbls>
        <c:gapWidth val="0"/>
        <c:axId val="314920640"/>
        <c:axId val="314921816"/>
      </c:barChart>
      <c:lineChart>
        <c:grouping val="standard"/>
        <c:varyColors val="0"/>
        <c:ser>
          <c:idx val="3"/>
          <c:order val="1"/>
          <c:tx>
            <c:strRef>
              <c:f>'High Case'!$A$162</c:f>
              <c:strCache>
                <c:ptCount val="1"/>
                <c:pt idx="0">
                  <c:v>Recovery - copper</c:v>
                </c:pt>
              </c:strCache>
            </c:strRef>
          </c:tx>
          <c:spPr>
            <a:ln w="38100">
              <a:solidFill>
                <a:srgbClr val="FFC000"/>
              </a:solidFill>
            </a:ln>
          </c:spPr>
          <c:marker>
            <c:symbol val="none"/>
          </c:marker>
          <c:cat>
            <c:numRef>
              <c:f>'High Case'!$D$94:$AD$94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'High Case'!$D$162:$AD$162</c:f>
              <c:numCache>
                <c:formatCode>0.0%</c:formatCode>
                <c:ptCount val="27"/>
                <c:pt idx="0">
                  <c:v>0.88</c:v>
                </c:pt>
                <c:pt idx="1">
                  <c:v>0.88</c:v>
                </c:pt>
                <c:pt idx="2">
                  <c:v>0.88</c:v>
                </c:pt>
                <c:pt idx="3">
                  <c:v>0.88</c:v>
                </c:pt>
                <c:pt idx="4">
                  <c:v>0.88</c:v>
                </c:pt>
                <c:pt idx="5">
                  <c:v>0.88</c:v>
                </c:pt>
                <c:pt idx="6">
                  <c:v>0.88</c:v>
                </c:pt>
                <c:pt idx="7">
                  <c:v>0.88</c:v>
                </c:pt>
                <c:pt idx="8">
                  <c:v>0.88</c:v>
                </c:pt>
                <c:pt idx="9">
                  <c:v>0.88</c:v>
                </c:pt>
                <c:pt idx="10">
                  <c:v>0.88</c:v>
                </c:pt>
                <c:pt idx="11">
                  <c:v>0.88</c:v>
                </c:pt>
                <c:pt idx="12">
                  <c:v>0.88</c:v>
                </c:pt>
                <c:pt idx="13">
                  <c:v>0.88</c:v>
                </c:pt>
                <c:pt idx="14">
                  <c:v>0.88</c:v>
                </c:pt>
                <c:pt idx="15">
                  <c:v>0.88</c:v>
                </c:pt>
                <c:pt idx="16">
                  <c:v>0.88</c:v>
                </c:pt>
                <c:pt idx="17">
                  <c:v>0.88</c:v>
                </c:pt>
                <c:pt idx="18">
                  <c:v>0.88</c:v>
                </c:pt>
                <c:pt idx="19">
                  <c:v>0.88</c:v>
                </c:pt>
                <c:pt idx="20">
                  <c:v>0.88</c:v>
                </c:pt>
                <c:pt idx="21">
                  <c:v>0.88</c:v>
                </c:pt>
                <c:pt idx="22">
                  <c:v>0.88</c:v>
                </c:pt>
                <c:pt idx="23">
                  <c:v>0.88</c:v>
                </c:pt>
                <c:pt idx="24">
                  <c:v>0.88</c:v>
                </c:pt>
                <c:pt idx="25">
                  <c:v>0.88</c:v>
                </c:pt>
                <c:pt idx="26">
                  <c:v>0.88</c:v>
                </c:pt>
              </c:numCache>
            </c:numRef>
          </c:val>
          <c:smooth val="0"/>
          <c:extLst>
            <c:ext xmlns:c16="http://schemas.microsoft.com/office/drawing/2014/chart" uri="{C3380CC4-5D6E-409C-BE32-E72D297353CC}">
              <c16:uniqueId val="{00000001-26CC-42D4-B48B-88CF4D730E83}"/>
            </c:ext>
          </c:extLst>
        </c:ser>
        <c:ser>
          <c:idx val="4"/>
          <c:order val="2"/>
          <c:tx>
            <c:strRef>
              <c:f>'High Case'!$A$163</c:f>
              <c:strCache>
                <c:ptCount val="1"/>
                <c:pt idx="0">
                  <c:v>Recovery - gold</c:v>
                </c:pt>
              </c:strCache>
            </c:strRef>
          </c:tx>
          <c:spPr>
            <a:ln w="57150">
              <a:solidFill>
                <a:srgbClr val="FFFF00"/>
              </a:solidFill>
              <a:prstDash val="sysDash"/>
            </a:ln>
          </c:spPr>
          <c:marker>
            <c:symbol val="none"/>
          </c:marker>
          <c:cat>
            <c:numRef>
              <c:f>'High Case'!$D$94:$AD$94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'High Case'!$D$163:$AD$163</c:f>
              <c:numCache>
                <c:formatCode>0.0%</c:formatCode>
                <c:ptCount val="27"/>
                <c:pt idx="0">
                  <c:v>0.77</c:v>
                </c:pt>
                <c:pt idx="1">
                  <c:v>0.77</c:v>
                </c:pt>
                <c:pt idx="2">
                  <c:v>0.77</c:v>
                </c:pt>
                <c:pt idx="3">
                  <c:v>0.77</c:v>
                </c:pt>
                <c:pt idx="4">
                  <c:v>0.77</c:v>
                </c:pt>
                <c:pt idx="5">
                  <c:v>0.77</c:v>
                </c:pt>
                <c:pt idx="6">
                  <c:v>0.77</c:v>
                </c:pt>
                <c:pt idx="7">
                  <c:v>0.77</c:v>
                </c:pt>
                <c:pt idx="8">
                  <c:v>0.77</c:v>
                </c:pt>
                <c:pt idx="9">
                  <c:v>0.77</c:v>
                </c:pt>
                <c:pt idx="10">
                  <c:v>0.77</c:v>
                </c:pt>
                <c:pt idx="11">
                  <c:v>0.77</c:v>
                </c:pt>
                <c:pt idx="12">
                  <c:v>0.77</c:v>
                </c:pt>
                <c:pt idx="13">
                  <c:v>0.77</c:v>
                </c:pt>
                <c:pt idx="14">
                  <c:v>0.77</c:v>
                </c:pt>
                <c:pt idx="15">
                  <c:v>0.77</c:v>
                </c:pt>
                <c:pt idx="16">
                  <c:v>0.77</c:v>
                </c:pt>
                <c:pt idx="17">
                  <c:v>0.77</c:v>
                </c:pt>
                <c:pt idx="18">
                  <c:v>0.77</c:v>
                </c:pt>
                <c:pt idx="19">
                  <c:v>0.77</c:v>
                </c:pt>
                <c:pt idx="20">
                  <c:v>0.77</c:v>
                </c:pt>
                <c:pt idx="21">
                  <c:v>0.77</c:v>
                </c:pt>
                <c:pt idx="22">
                  <c:v>0.77</c:v>
                </c:pt>
                <c:pt idx="23">
                  <c:v>0.77</c:v>
                </c:pt>
                <c:pt idx="24">
                  <c:v>0.77</c:v>
                </c:pt>
                <c:pt idx="25">
                  <c:v>0.77</c:v>
                </c:pt>
                <c:pt idx="26">
                  <c:v>0.77</c:v>
                </c:pt>
              </c:numCache>
            </c:numRef>
          </c:val>
          <c:smooth val="0"/>
          <c:extLst>
            <c:ext xmlns:c16="http://schemas.microsoft.com/office/drawing/2014/chart" uri="{C3380CC4-5D6E-409C-BE32-E72D297353CC}">
              <c16:uniqueId val="{00000002-26CC-42D4-B48B-88CF4D730E83}"/>
            </c:ext>
          </c:extLst>
        </c:ser>
        <c:ser>
          <c:idx val="1"/>
          <c:order val="3"/>
          <c:tx>
            <c:strRef>
              <c:f>'High Case'!$A$176</c:f>
              <c:strCache>
                <c:ptCount val="1"/>
                <c:pt idx="0">
                  <c:v>Recovery - moly</c:v>
                </c:pt>
              </c:strCache>
            </c:strRef>
          </c:tx>
          <c:spPr>
            <a:ln w="41275">
              <a:solidFill>
                <a:schemeClr val="accent4">
                  <a:lumMod val="75000"/>
                </a:schemeClr>
              </a:solidFill>
              <a:prstDash val="sysDash"/>
            </a:ln>
          </c:spPr>
          <c:marker>
            <c:symbol val="none"/>
          </c:marker>
          <c:cat>
            <c:numRef>
              <c:f>'High Case'!$D$94:$AD$94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'High Case'!$D$176:$AD$176</c:f>
              <c:numCache>
                <c:formatCode>0%</c:formatCode>
                <c:ptCount val="27"/>
                <c:pt idx="0">
                  <c:v>0.7</c:v>
                </c:pt>
                <c:pt idx="1">
                  <c:v>0.7</c:v>
                </c:pt>
                <c:pt idx="2">
                  <c:v>0.7</c:v>
                </c:pt>
                <c:pt idx="3">
                  <c:v>0.7</c:v>
                </c:pt>
                <c:pt idx="4">
                  <c:v>0.7</c:v>
                </c:pt>
                <c:pt idx="5">
                  <c:v>0.7</c:v>
                </c:pt>
                <c:pt idx="6">
                  <c:v>0.7</c:v>
                </c:pt>
                <c:pt idx="7">
                  <c:v>0.7</c:v>
                </c:pt>
                <c:pt idx="8">
                  <c:v>0.7</c:v>
                </c:pt>
                <c:pt idx="9">
                  <c:v>0.7</c:v>
                </c:pt>
                <c:pt idx="10">
                  <c:v>0.7</c:v>
                </c:pt>
                <c:pt idx="11">
                  <c:v>0.7</c:v>
                </c:pt>
                <c:pt idx="12">
                  <c:v>0.7</c:v>
                </c:pt>
                <c:pt idx="13">
                  <c:v>0.7</c:v>
                </c:pt>
                <c:pt idx="14">
                  <c:v>0.7</c:v>
                </c:pt>
                <c:pt idx="15">
                  <c:v>0.7</c:v>
                </c:pt>
                <c:pt idx="16">
                  <c:v>0.7</c:v>
                </c:pt>
                <c:pt idx="17">
                  <c:v>0.7</c:v>
                </c:pt>
                <c:pt idx="18">
                  <c:v>0.7</c:v>
                </c:pt>
                <c:pt idx="19">
                  <c:v>0.7</c:v>
                </c:pt>
                <c:pt idx="20">
                  <c:v>0.7</c:v>
                </c:pt>
                <c:pt idx="21">
                  <c:v>0.7</c:v>
                </c:pt>
                <c:pt idx="22">
                  <c:v>0.7</c:v>
                </c:pt>
                <c:pt idx="23">
                  <c:v>0.7</c:v>
                </c:pt>
                <c:pt idx="24">
                  <c:v>0.7</c:v>
                </c:pt>
                <c:pt idx="25">
                  <c:v>0.7</c:v>
                </c:pt>
                <c:pt idx="26">
                  <c:v>0.7</c:v>
                </c:pt>
              </c:numCache>
            </c:numRef>
          </c:val>
          <c:smooth val="0"/>
          <c:extLst>
            <c:ext xmlns:c16="http://schemas.microsoft.com/office/drawing/2014/chart" uri="{C3380CC4-5D6E-409C-BE32-E72D297353CC}">
              <c16:uniqueId val="{00000003-26CC-42D4-B48B-88CF4D730E83}"/>
            </c:ext>
          </c:extLst>
        </c:ser>
        <c:dLbls>
          <c:showLegendKey val="0"/>
          <c:showVal val="0"/>
          <c:showCatName val="0"/>
          <c:showSerName val="0"/>
          <c:showPercent val="0"/>
          <c:showBubbleSize val="0"/>
        </c:dLbls>
        <c:marker val="1"/>
        <c:smooth val="0"/>
        <c:axId val="314915936"/>
        <c:axId val="371404896"/>
      </c:lineChart>
      <c:catAx>
        <c:axId val="314920640"/>
        <c:scaling>
          <c:orientation val="minMax"/>
        </c:scaling>
        <c:delete val="0"/>
        <c:axPos val="b"/>
        <c:numFmt formatCode="0" sourceLinked="1"/>
        <c:majorTickMark val="out"/>
        <c:minorTickMark val="none"/>
        <c:tickLblPos val="nextTo"/>
        <c:txPr>
          <a:bodyPr/>
          <a:lstStyle/>
          <a:p>
            <a:pPr>
              <a:defRPr sz="1000" b="0"/>
            </a:pPr>
            <a:endParaRPr lang="en-US"/>
          </a:p>
        </c:txPr>
        <c:crossAx val="314921816"/>
        <c:crosses val="autoZero"/>
        <c:auto val="1"/>
        <c:lblAlgn val="ctr"/>
        <c:lblOffset val="100"/>
        <c:noMultiLvlLbl val="0"/>
      </c:catAx>
      <c:valAx>
        <c:axId val="314921816"/>
        <c:scaling>
          <c:orientation val="minMax"/>
        </c:scaling>
        <c:delete val="0"/>
        <c:axPos val="l"/>
        <c:majorGridlines/>
        <c:title>
          <c:tx>
            <c:rich>
              <a:bodyPr rot="-5400000" vert="horz"/>
              <a:lstStyle/>
              <a:p>
                <a:pPr algn="ctr" rtl="0">
                  <a:defRPr lang="en-US" sz="1200" b="1" i="0" u="none" strike="noStrike" kern="1200" baseline="0">
                    <a:solidFill>
                      <a:sysClr val="windowText" lastClr="000000"/>
                    </a:solidFill>
                    <a:latin typeface="+mn-lt"/>
                    <a:ea typeface="+mn-ea"/>
                    <a:cs typeface="+mn-cs"/>
                  </a:defRPr>
                </a:pPr>
                <a:r>
                  <a:rPr lang="en-US" sz="1200" b="1" i="0" u="none" strike="noStrike" kern="1200" baseline="0">
                    <a:solidFill>
                      <a:sysClr val="windowText" lastClr="000000"/>
                    </a:solidFill>
                    <a:latin typeface="+mn-lt"/>
                    <a:ea typeface="+mn-ea"/>
                    <a:cs typeface="+mn-cs"/>
                  </a:rPr>
                  <a:t>millions tonnes</a:t>
                </a:r>
              </a:p>
            </c:rich>
          </c:tx>
          <c:layout>
            <c:manualLayout>
              <c:xMode val="edge"/>
              <c:yMode val="edge"/>
              <c:x val="2.7469094488188975E-2"/>
              <c:y val="0.2384182441878589"/>
            </c:manualLayout>
          </c:layout>
          <c:overlay val="0"/>
        </c:title>
        <c:numFmt formatCode="#,##0" sourceLinked="1"/>
        <c:majorTickMark val="out"/>
        <c:minorTickMark val="none"/>
        <c:tickLblPos val="nextTo"/>
        <c:txPr>
          <a:bodyPr/>
          <a:lstStyle/>
          <a:p>
            <a:pPr>
              <a:defRPr sz="1000" b="0">
                <a:solidFill>
                  <a:sysClr val="windowText" lastClr="000000"/>
                </a:solidFill>
              </a:defRPr>
            </a:pPr>
            <a:endParaRPr lang="en-US"/>
          </a:p>
        </c:txPr>
        <c:crossAx val="314920640"/>
        <c:crosses val="autoZero"/>
        <c:crossBetween val="between"/>
      </c:valAx>
      <c:catAx>
        <c:axId val="314915936"/>
        <c:scaling>
          <c:orientation val="minMax"/>
        </c:scaling>
        <c:delete val="1"/>
        <c:axPos val="b"/>
        <c:numFmt formatCode="0" sourceLinked="1"/>
        <c:majorTickMark val="out"/>
        <c:minorTickMark val="none"/>
        <c:tickLblPos val="none"/>
        <c:crossAx val="371404896"/>
        <c:crosses val="autoZero"/>
        <c:auto val="1"/>
        <c:lblAlgn val="ctr"/>
        <c:lblOffset val="100"/>
        <c:noMultiLvlLbl val="0"/>
      </c:catAx>
      <c:valAx>
        <c:axId val="371404896"/>
        <c:scaling>
          <c:orientation val="minMax"/>
        </c:scaling>
        <c:delete val="0"/>
        <c:axPos val="r"/>
        <c:title>
          <c:tx>
            <c:rich>
              <a:bodyPr rot="-5400000" vert="horz"/>
              <a:lstStyle/>
              <a:p>
                <a:pPr algn="ctr" rtl="0">
                  <a:defRPr lang="en-US" sz="1200" b="1" i="0" u="none" strike="noStrike" kern="1200" baseline="0">
                    <a:solidFill>
                      <a:sysClr val="windowText" lastClr="000000"/>
                    </a:solidFill>
                    <a:latin typeface="+mn-lt"/>
                    <a:ea typeface="+mn-ea"/>
                    <a:cs typeface="+mn-cs"/>
                  </a:defRPr>
                </a:pPr>
                <a:r>
                  <a:rPr lang="en-US" sz="1200" b="1" i="0" u="none" strike="noStrike" kern="1200" baseline="0">
                    <a:solidFill>
                      <a:sysClr val="windowText" lastClr="000000"/>
                    </a:solidFill>
                    <a:latin typeface="+mn-lt"/>
                    <a:ea typeface="+mn-ea"/>
                    <a:cs typeface="+mn-cs"/>
                  </a:rPr>
                  <a:t>Recovery</a:t>
                </a:r>
              </a:p>
            </c:rich>
          </c:tx>
          <c:layout>
            <c:manualLayout>
              <c:xMode val="edge"/>
              <c:yMode val="edge"/>
              <c:x val="0.95342123660978828"/>
              <c:y val="0.30269512730006892"/>
            </c:manualLayout>
          </c:layout>
          <c:overlay val="0"/>
        </c:title>
        <c:numFmt formatCode="0%" sourceLinked="0"/>
        <c:majorTickMark val="out"/>
        <c:minorTickMark val="none"/>
        <c:tickLblPos val="nextTo"/>
        <c:txPr>
          <a:bodyPr/>
          <a:lstStyle/>
          <a:p>
            <a:pPr>
              <a:defRPr sz="900" baseline="0">
                <a:solidFill>
                  <a:sysClr val="windowText" lastClr="000000"/>
                </a:solidFill>
              </a:defRPr>
            </a:pPr>
            <a:endParaRPr lang="en-US"/>
          </a:p>
        </c:txPr>
        <c:crossAx val="314915936"/>
        <c:crosses val="max"/>
        <c:crossBetween val="between"/>
      </c:valAx>
    </c:plotArea>
    <c:legend>
      <c:legendPos val="b"/>
      <c:layout>
        <c:manualLayout>
          <c:xMode val="edge"/>
          <c:yMode val="edge"/>
          <c:x val="1.5630600182165182E-3"/>
          <c:y val="0.71163843058161846"/>
          <c:w val="0.98357553913239948"/>
          <c:h val="0.2556563359220197"/>
        </c:manualLayout>
      </c:layout>
      <c:overlay val="0"/>
      <c:txPr>
        <a:bodyPr/>
        <a:lstStyle/>
        <a:p>
          <a:pPr>
            <a:defRPr sz="1000" b="0"/>
          </a:pPr>
          <a:endParaRPr lang="en-US"/>
        </a:p>
      </c:txPr>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a:pPr>
            <a:r>
              <a:rPr lang="en-US"/>
              <a:t>forecasts of prices and TC</a:t>
            </a:r>
          </a:p>
        </c:rich>
      </c:tx>
      <c:layout>
        <c:manualLayout>
          <c:xMode val="edge"/>
          <c:yMode val="edge"/>
          <c:x val="0.30893885197745996"/>
          <c:y val="2.7203070780342641E-2"/>
        </c:manualLayout>
      </c:layout>
      <c:overlay val="0"/>
    </c:title>
    <c:autoTitleDeleted val="0"/>
    <c:plotArea>
      <c:layout>
        <c:manualLayout>
          <c:layoutTarget val="inner"/>
          <c:xMode val="edge"/>
          <c:yMode val="edge"/>
          <c:x val="0.17265997841640354"/>
          <c:y val="0.12929628817345606"/>
          <c:w val="0.68444781965706059"/>
          <c:h val="0.50615528533472709"/>
        </c:manualLayout>
      </c:layout>
      <c:lineChart>
        <c:grouping val="standard"/>
        <c:varyColors val="0"/>
        <c:ser>
          <c:idx val="3"/>
          <c:order val="1"/>
          <c:tx>
            <c:strRef>
              <c:f>'High Case'!$A$227</c:f>
              <c:strCache>
                <c:ptCount val="1"/>
                <c:pt idx="0">
                  <c:v>Copper price forecast - High Case</c:v>
                </c:pt>
              </c:strCache>
            </c:strRef>
          </c:tx>
          <c:spPr>
            <a:ln w="28575">
              <a:solidFill>
                <a:srgbClr val="FFC000"/>
              </a:solidFill>
              <a:prstDash val="solid"/>
            </a:ln>
          </c:spPr>
          <c:marker>
            <c:symbol val="none"/>
          </c:marker>
          <c:cat>
            <c:numRef>
              <c:f>'High Case'!$D$94:$AD$94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'High Case'!$D$227:$AD$227</c:f>
              <c:numCache>
                <c:formatCode>#,##0.00</c:formatCode>
                <c:ptCount val="27"/>
                <c:pt idx="0">
                  <c:v>5</c:v>
                </c:pt>
                <c:pt idx="1">
                  <c:v>5</c:v>
                </c:pt>
                <c:pt idx="2">
                  <c:v>5</c:v>
                </c:pt>
                <c:pt idx="3">
                  <c:v>5</c:v>
                </c:pt>
                <c:pt idx="4">
                  <c:v>5</c:v>
                </c:pt>
                <c:pt idx="5">
                  <c:v>5</c:v>
                </c:pt>
                <c:pt idx="6">
                  <c:v>5</c:v>
                </c:pt>
                <c:pt idx="7">
                  <c:v>5</c:v>
                </c:pt>
                <c:pt idx="8">
                  <c:v>5</c:v>
                </c:pt>
                <c:pt idx="9">
                  <c:v>5</c:v>
                </c:pt>
                <c:pt idx="10">
                  <c:v>5</c:v>
                </c:pt>
                <c:pt idx="11">
                  <c:v>5</c:v>
                </c:pt>
                <c:pt idx="12">
                  <c:v>5</c:v>
                </c:pt>
                <c:pt idx="13">
                  <c:v>5</c:v>
                </c:pt>
                <c:pt idx="14">
                  <c:v>5</c:v>
                </c:pt>
                <c:pt idx="15">
                  <c:v>5</c:v>
                </c:pt>
                <c:pt idx="16">
                  <c:v>5</c:v>
                </c:pt>
                <c:pt idx="17">
                  <c:v>5</c:v>
                </c:pt>
                <c:pt idx="18">
                  <c:v>5</c:v>
                </c:pt>
                <c:pt idx="19">
                  <c:v>5</c:v>
                </c:pt>
                <c:pt idx="20">
                  <c:v>5</c:v>
                </c:pt>
                <c:pt idx="21">
                  <c:v>5</c:v>
                </c:pt>
                <c:pt idx="22">
                  <c:v>5</c:v>
                </c:pt>
                <c:pt idx="23">
                  <c:v>5</c:v>
                </c:pt>
                <c:pt idx="24">
                  <c:v>5</c:v>
                </c:pt>
                <c:pt idx="25">
                  <c:v>5</c:v>
                </c:pt>
                <c:pt idx="26">
                  <c:v>5</c:v>
                </c:pt>
              </c:numCache>
            </c:numRef>
          </c:val>
          <c:smooth val="0"/>
          <c:extLst>
            <c:ext xmlns:c16="http://schemas.microsoft.com/office/drawing/2014/chart" uri="{C3380CC4-5D6E-409C-BE32-E72D297353CC}">
              <c16:uniqueId val="{00000000-1F84-462C-9B28-683875F4F671}"/>
            </c:ext>
          </c:extLst>
        </c:ser>
        <c:dLbls>
          <c:showLegendKey val="0"/>
          <c:showVal val="0"/>
          <c:showCatName val="0"/>
          <c:showSerName val="0"/>
          <c:showPercent val="0"/>
          <c:showBubbleSize val="0"/>
        </c:dLbls>
        <c:marker val="1"/>
        <c:smooth val="0"/>
        <c:axId val="371400976"/>
        <c:axId val="371399800"/>
      </c:lineChart>
      <c:lineChart>
        <c:grouping val="standard"/>
        <c:varyColors val="0"/>
        <c:ser>
          <c:idx val="0"/>
          <c:order val="0"/>
          <c:tx>
            <c:strRef>
              <c:f>'High Case'!$A$105</c:f>
              <c:strCache>
                <c:ptCount val="1"/>
                <c:pt idx="0">
                  <c:v>copper conc - treatment terms - High Case</c:v>
                </c:pt>
              </c:strCache>
            </c:strRef>
          </c:tx>
          <c:spPr>
            <a:ln w="63500">
              <a:solidFill>
                <a:srgbClr val="92D050"/>
              </a:solidFill>
              <a:prstDash val="sysDot"/>
            </a:ln>
          </c:spPr>
          <c:marker>
            <c:symbol val="none"/>
          </c:marker>
          <c:cat>
            <c:numRef>
              <c:f>'High Case'!$D$94:$AD$94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'High Case'!$D$105:$AD$105</c:f>
              <c:numCache>
                <c:formatCode>#,##0.00</c:formatCode>
                <c:ptCount val="27"/>
                <c:pt idx="0">
                  <c:v>80</c:v>
                </c:pt>
                <c:pt idx="1">
                  <c:v>80</c:v>
                </c:pt>
                <c:pt idx="2">
                  <c:v>80</c:v>
                </c:pt>
                <c:pt idx="3">
                  <c:v>80</c:v>
                </c:pt>
                <c:pt idx="4">
                  <c:v>80</c:v>
                </c:pt>
                <c:pt idx="5">
                  <c:v>80</c:v>
                </c:pt>
                <c:pt idx="6">
                  <c:v>80</c:v>
                </c:pt>
                <c:pt idx="7">
                  <c:v>80</c:v>
                </c:pt>
                <c:pt idx="8">
                  <c:v>80</c:v>
                </c:pt>
                <c:pt idx="9">
                  <c:v>80</c:v>
                </c:pt>
                <c:pt idx="10">
                  <c:v>80</c:v>
                </c:pt>
                <c:pt idx="11">
                  <c:v>80</c:v>
                </c:pt>
                <c:pt idx="12">
                  <c:v>80</c:v>
                </c:pt>
                <c:pt idx="13">
                  <c:v>80</c:v>
                </c:pt>
                <c:pt idx="14">
                  <c:v>80</c:v>
                </c:pt>
                <c:pt idx="15">
                  <c:v>80</c:v>
                </c:pt>
                <c:pt idx="16">
                  <c:v>80</c:v>
                </c:pt>
                <c:pt idx="17">
                  <c:v>80</c:v>
                </c:pt>
                <c:pt idx="18">
                  <c:v>80</c:v>
                </c:pt>
                <c:pt idx="19">
                  <c:v>80</c:v>
                </c:pt>
                <c:pt idx="20">
                  <c:v>80</c:v>
                </c:pt>
                <c:pt idx="21">
                  <c:v>80</c:v>
                </c:pt>
                <c:pt idx="22">
                  <c:v>80</c:v>
                </c:pt>
                <c:pt idx="23">
                  <c:v>80</c:v>
                </c:pt>
                <c:pt idx="24">
                  <c:v>80</c:v>
                </c:pt>
                <c:pt idx="25">
                  <c:v>80</c:v>
                </c:pt>
                <c:pt idx="26">
                  <c:v>80</c:v>
                </c:pt>
              </c:numCache>
            </c:numRef>
          </c:val>
          <c:smooth val="0"/>
          <c:extLst>
            <c:ext xmlns:c16="http://schemas.microsoft.com/office/drawing/2014/chart" uri="{C3380CC4-5D6E-409C-BE32-E72D297353CC}">
              <c16:uniqueId val="{00000001-1F84-462C-9B28-683875F4F671}"/>
            </c:ext>
          </c:extLst>
        </c:ser>
        <c:ser>
          <c:idx val="2"/>
          <c:order val="2"/>
          <c:tx>
            <c:strRef>
              <c:f>'High Case'!$A$291</c:f>
              <c:strCache>
                <c:ptCount val="1"/>
                <c:pt idx="0">
                  <c:v>Moly price forecast - High Case</c:v>
                </c:pt>
              </c:strCache>
            </c:strRef>
          </c:tx>
          <c:spPr>
            <a:ln w="28575">
              <a:solidFill>
                <a:schemeClr val="accent4">
                  <a:lumMod val="50000"/>
                </a:schemeClr>
              </a:solidFill>
              <a:prstDash val="dash"/>
            </a:ln>
          </c:spPr>
          <c:marker>
            <c:symbol val="none"/>
          </c:marker>
          <c:cat>
            <c:numRef>
              <c:f>'High Case'!$D$94:$AD$94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'High Case'!$D$291:$AD$291</c:f>
              <c:numCache>
                <c:formatCode>#,##0.00</c:formatCode>
                <c:ptCount val="27"/>
                <c:pt idx="0">
                  <c:v>20</c:v>
                </c:pt>
                <c:pt idx="1">
                  <c:v>20</c:v>
                </c:pt>
                <c:pt idx="2">
                  <c:v>20</c:v>
                </c:pt>
                <c:pt idx="3">
                  <c:v>20</c:v>
                </c:pt>
                <c:pt idx="4">
                  <c:v>20</c:v>
                </c:pt>
                <c:pt idx="5">
                  <c:v>20</c:v>
                </c:pt>
                <c:pt idx="6">
                  <c:v>20</c:v>
                </c:pt>
                <c:pt idx="7">
                  <c:v>20</c:v>
                </c:pt>
                <c:pt idx="8">
                  <c:v>20</c:v>
                </c:pt>
                <c:pt idx="9">
                  <c:v>20</c:v>
                </c:pt>
                <c:pt idx="10">
                  <c:v>20</c:v>
                </c:pt>
                <c:pt idx="11">
                  <c:v>20</c:v>
                </c:pt>
                <c:pt idx="12">
                  <c:v>20</c:v>
                </c:pt>
                <c:pt idx="13">
                  <c:v>20</c:v>
                </c:pt>
                <c:pt idx="14">
                  <c:v>20</c:v>
                </c:pt>
                <c:pt idx="15">
                  <c:v>20</c:v>
                </c:pt>
                <c:pt idx="16">
                  <c:v>20</c:v>
                </c:pt>
                <c:pt idx="17">
                  <c:v>20</c:v>
                </c:pt>
                <c:pt idx="18">
                  <c:v>20</c:v>
                </c:pt>
                <c:pt idx="19">
                  <c:v>20</c:v>
                </c:pt>
                <c:pt idx="20">
                  <c:v>20</c:v>
                </c:pt>
                <c:pt idx="21">
                  <c:v>20</c:v>
                </c:pt>
                <c:pt idx="22">
                  <c:v>20</c:v>
                </c:pt>
                <c:pt idx="23">
                  <c:v>20</c:v>
                </c:pt>
                <c:pt idx="24">
                  <c:v>20</c:v>
                </c:pt>
                <c:pt idx="25">
                  <c:v>20</c:v>
                </c:pt>
                <c:pt idx="26">
                  <c:v>20</c:v>
                </c:pt>
              </c:numCache>
            </c:numRef>
          </c:val>
          <c:smooth val="0"/>
          <c:extLst>
            <c:ext xmlns:c16="http://schemas.microsoft.com/office/drawing/2014/chart" uri="{C3380CC4-5D6E-409C-BE32-E72D297353CC}">
              <c16:uniqueId val="{00000002-1F84-462C-9B28-683875F4F671}"/>
            </c:ext>
          </c:extLst>
        </c:ser>
        <c:dLbls>
          <c:showLegendKey val="0"/>
          <c:showVal val="0"/>
          <c:showCatName val="0"/>
          <c:showSerName val="0"/>
          <c:showPercent val="0"/>
          <c:showBubbleSize val="0"/>
        </c:dLbls>
        <c:marker val="1"/>
        <c:smooth val="0"/>
        <c:axId val="374918568"/>
        <c:axId val="313662816"/>
      </c:lineChart>
      <c:valAx>
        <c:axId val="371399800"/>
        <c:scaling>
          <c:orientation val="minMax"/>
          <c:max val="5"/>
        </c:scaling>
        <c:delete val="0"/>
        <c:axPos val="l"/>
        <c:title>
          <c:tx>
            <c:rich>
              <a:bodyPr/>
              <a:lstStyle/>
              <a:p>
                <a:pPr algn="ctr" rtl="0">
                  <a:defRPr/>
                </a:pPr>
                <a:r>
                  <a:rPr lang="en-US"/>
                  <a:t>Moly price &amp; Copper Conc  TC</a:t>
                </a:r>
              </a:p>
            </c:rich>
          </c:tx>
          <c:layout>
            <c:manualLayout>
              <c:xMode val="edge"/>
              <c:yMode val="edge"/>
              <c:x val="0.94756637869824434"/>
              <c:y val="5.9848605027408817E-2"/>
            </c:manualLayout>
          </c:layout>
          <c:overlay val="0"/>
        </c:title>
        <c:numFmt formatCode="#,##0.00" sourceLinked="1"/>
        <c:majorTickMark val="out"/>
        <c:minorTickMark val="none"/>
        <c:tickLblPos val="nextTo"/>
        <c:spPr>
          <a:ln>
            <a:solidFill>
              <a:srgbClr val="FFCC66"/>
            </a:solidFill>
          </a:ln>
        </c:spPr>
        <c:crossAx val="371400976"/>
        <c:crosses val="autoZero"/>
        <c:crossBetween val="between"/>
      </c:valAx>
      <c:catAx>
        <c:axId val="371400976"/>
        <c:scaling>
          <c:orientation val="minMax"/>
        </c:scaling>
        <c:delete val="0"/>
        <c:axPos val="b"/>
        <c:numFmt formatCode="0" sourceLinked="1"/>
        <c:majorTickMark val="out"/>
        <c:minorTickMark val="none"/>
        <c:tickLblPos val="nextTo"/>
        <c:crossAx val="371399800"/>
        <c:crosses val="autoZero"/>
        <c:auto val="1"/>
        <c:lblAlgn val="ctr"/>
        <c:lblOffset val="100"/>
        <c:noMultiLvlLbl val="0"/>
      </c:catAx>
      <c:valAx>
        <c:axId val="313662816"/>
        <c:scaling>
          <c:orientation val="minMax"/>
        </c:scaling>
        <c:delete val="0"/>
        <c:axPos val="r"/>
        <c:title>
          <c:tx>
            <c:rich>
              <a:bodyPr/>
              <a:lstStyle/>
              <a:p>
                <a:pPr>
                  <a:defRPr/>
                </a:pPr>
                <a:r>
                  <a:rPr lang="en-US"/>
                  <a:t>Copper   US$/lb</a:t>
                </a:r>
              </a:p>
            </c:rich>
          </c:tx>
          <c:layout>
            <c:manualLayout>
              <c:xMode val="edge"/>
              <c:yMode val="edge"/>
              <c:x val="1.6227991938619696E-2"/>
              <c:y val="0.19461567423699322"/>
            </c:manualLayout>
          </c:layout>
          <c:overlay val="0"/>
        </c:title>
        <c:numFmt formatCode="#,##0" sourceLinked="0"/>
        <c:majorTickMark val="out"/>
        <c:minorTickMark val="none"/>
        <c:tickLblPos val="nextTo"/>
        <c:txPr>
          <a:bodyPr/>
          <a:lstStyle/>
          <a:p>
            <a:pPr algn="ctr">
              <a:defRPr sz="1000" b="0"/>
            </a:pPr>
            <a:endParaRPr lang="en-US"/>
          </a:p>
        </c:txPr>
        <c:crossAx val="374918568"/>
        <c:crosses val="max"/>
        <c:crossBetween val="between"/>
        <c:majorUnit val="1"/>
      </c:valAx>
      <c:catAx>
        <c:axId val="374918568"/>
        <c:scaling>
          <c:orientation val="minMax"/>
        </c:scaling>
        <c:delete val="1"/>
        <c:axPos val="b"/>
        <c:numFmt formatCode="0" sourceLinked="1"/>
        <c:majorTickMark val="out"/>
        <c:minorTickMark val="none"/>
        <c:tickLblPos val="none"/>
        <c:crossAx val="313662816"/>
        <c:crosses val="autoZero"/>
        <c:auto val="1"/>
        <c:lblAlgn val="ctr"/>
        <c:lblOffset val="100"/>
        <c:noMultiLvlLbl val="0"/>
      </c:catAx>
      <c:spPr>
        <a:ln>
          <a:solidFill>
            <a:srgbClr val="FF0000"/>
          </a:solidFill>
          <a:prstDash val="sysDot"/>
        </a:ln>
      </c:spPr>
    </c:plotArea>
    <c:legend>
      <c:legendPos val="b"/>
      <c:layout>
        <c:manualLayout>
          <c:xMode val="edge"/>
          <c:yMode val="edge"/>
          <c:x val="3.7663468355159054E-2"/>
          <c:y val="0.80432415063906681"/>
          <c:w val="0.85389728533286369"/>
          <c:h val="0.19567584936093319"/>
        </c:manualLayout>
      </c:layout>
      <c:overlay val="0"/>
    </c:legend>
    <c:plotVisOnly val="1"/>
    <c:dispBlanksAs val="gap"/>
    <c:showDLblsOverMax val="0"/>
  </c:chart>
  <c:txPr>
    <a:bodyPr/>
    <a:lstStyle/>
    <a:p>
      <a:pPr>
        <a:defRPr sz="1000" b="1"/>
      </a:pPr>
      <a:endParaRPr lang="en-US"/>
    </a:p>
  </c:txPr>
  <c:printSettings>
    <c:headerFooter/>
    <c:pageMargins b="0.75000000000000056" l="0.70000000000000051" r="0.70000000000000051" t="0.75000000000000056" header="0.30000000000000027" footer="0.30000000000000027"/>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Copper Concentrate: </a:t>
            </a:r>
            <a:r>
              <a:rPr lang="en-US" sz="1200" b="0"/>
              <a:t>Selling price of one tonne &amp; contributions from contained metals </a:t>
            </a:r>
            <a:endParaRPr lang="en-US" sz="1400" b="0"/>
          </a:p>
        </c:rich>
      </c:tx>
      <c:layout>
        <c:manualLayout>
          <c:xMode val="edge"/>
          <c:yMode val="edge"/>
          <c:x val="0.1895739348370927"/>
          <c:y val="1.1111111111111112E-2"/>
        </c:manualLayout>
      </c:layout>
      <c:overlay val="1"/>
    </c:title>
    <c:autoTitleDeleted val="0"/>
    <c:plotArea>
      <c:layout>
        <c:manualLayout>
          <c:layoutTarget val="inner"/>
          <c:xMode val="edge"/>
          <c:yMode val="edge"/>
          <c:x val="0.15254090904914597"/>
          <c:y val="0.18470428696412949"/>
          <c:w val="0.8020285008131276"/>
          <c:h val="0.37572106394616667"/>
        </c:manualLayout>
      </c:layout>
      <c:barChart>
        <c:barDir val="col"/>
        <c:grouping val="stacked"/>
        <c:varyColors val="0"/>
        <c:ser>
          <c:idx val="0"/>
          <c:order val="0"/>
          <c:tx>
            <c:strRef>
              <c:f>'High Case'!$A$282</c:f>
              <c:strCache>
                <c:ptCount val="1"/>
                <c:pt idx="0">
                  <c:v>copper concentrate - net copper</c:v>
                </c:pt>
              </c:strCache>
            </c:strRef>
          </c:tx>
          <c:spPr>
            <a:solidFill>
              <a:srgbClr val="FFC000"/>
            </a:solidFill>
            <a:ln>
              <a:noFill/>
            </a:ln>
          </c:spPr>
          <c:invertIfNegative val="0"/>
          <c:cat>
            <c:numRef>
              <c:f>'High Case'!$D$94:$AD$94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'High Case'!$D$282:$AD$282</c:f>
              <c:numCache>
                <c:formatCode>#,##0</c:formatCode>
                <c:ptCount val="27"/>
                <c:pt idx="0">
                  <c:v>0</c:v>
                </c:pt>
                <c:pt idx="1">
                  <c:v>0</c:v>
                </c:pt>
                <c:pt idx="2">
                  <c:v>3169.8136466799997</c:v>
                </c:pt>
                <c:pt idx="3">
                  <c:v>3169.8136466799997</c:v>
                </c:pt>
                <c:pt idx="4">
                  <c:v>3169.8136466799997</c:v>
                </c:pt>
                <c:pt idx="5">
                  <c:v>3169.8136466799997</c:v>
                </c:pt>
                <c:pt idx="6">
                  <c:v>3169.8136466799997</c:v>
                </c:pt>
                <c:pt idx="7">
                  <c:v>3169.8136466799997</c:v>
                </c:pt>
                <c:pt idx="8">
                  <c:v>3169.8136466799997</c:v>
                </c:pt>
                <c:pt idx="9">
                  <c:v>3169.8136466799997</c:v>
                </c:pt>
                <c:pt idx="10">
                  <c:v>3169.8136466799997</c:v>
                </c:pt>
                <c:pt idx="11">
                  <c:v>3169.8136466799997</c:v>
                </c:pt>
                <c:pt idx="12">
                  <c:v>3169.8136466799997</c:v>
                </c:pt>
                <c:pt idx="13">
                  <c:v>3169.8136466799997</c:v>
                </c:pt>
                <c:pt idx="14">
                  <c:v>3169.8136466799997</c:v>
                </c:pt>
                <c:pt idx="15">
                  <c:v>3169.8136466799997</c:v>
                </c:pt>
                <c:pt idx="16">
                  <c:v>3169.8136466799997</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0-4F7F-4E7B-A1F8-8A246A083C3F}"/>
            </c:ext>
          </c:extLst>
        </c:ser>
        <c:ser>
          <c:idx val="1"/>
          <c:order val="1"/>
          <c:tx>
            <c:strRef>
              <c:f>'High Case'!$A$283</c:f>
              <c:strCache>
                <c:ptCount val="1"/>
                <c:pt idx="0">
                  <c:v>copper concentrate - net gold</c:v>
                </c:pt>
              </c:strCache>
            </c:strRef>
          </c:tx>
          <c:spPr>
            <a:solidFill>
              <a:srgbClr val="FFFF00"/>
            </a:solidFill>
          </c:spPr>
          <c:invertIfNegative val="0"/>
          <c:cat>
            <c:numRef>
              <c:f>'High Case'!$D$94:$AD$94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'High Case'!$D$283:$AD$283</c:f>
              <c:numCache>
                <c:formatCode>#,##0</c:formatCode>
                <c:ptCount val="27"/>
                <c:pt idx="0">
                  <c:v>0</c:v>
                </c:pt>
                <c:pt idx="1">
                  <c:v>0</c:v>
                </c:pt>
                <c:pt idx="2">
                  <c:v>473.75625921087897</c:v>
                </c:pt>
                <c:pt idx="3">
                  <c:v>473.7562592108788</c:v>
                </c:pt>
                <c:pt idx="4">
                  <c:v>473.7562592108788</c:v>
                </c:pt>
                <c:pt idx="5">
                  <c:v>473.7562592108788</c:v>
                </c:pt>
                <c:pt idx="6">
                  <c:v>473.75625921087885</c:v>
                </c:pt>
                <c:pt idx="7">
                  <c:v>458.58494439978557</c:v>
                </c:pt>
                <c:pt idx="8">
                  <c:v>442.99286575562689</c:v>
                </c:pt>
                <c:pt idx="9">
                  <c:v>442.99286575562689</c:v>
                </c:pt>
                <c:pt idx="10">
                  <c:v>442.99286575562689</c:v>
                </c:pt>
                <c:pt idx="11">
                  <c:v>442.99286575562689</c:v>
                </c:pt>
                <c:pt idx="12">
                  <c:v>445.23114549839221</c:v>
                </c:pt>
                <c:pt idx="13">
                  <c:v>422.85682640309852</c:v>
                </c:pt>
                <c:pt idx="14">
                  <c:v>422.85682640309852</c:v>
                </c:pt>
                <c:pt idx="15">
                  <c:v>422.85682640309852</c:v>
                </c:pt>
                <c:pt idx="16">
                  <c:v>422.85682640309858</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1-4F7F-4E7B-A1F8-8A246A083C3F}"/>
            </c:ext>
          </c:extLst>
        </c:ser>
        <c:ser>
          <c:idx val="2"/>
          <c:order val="2"/>
          <c:tx>
            <c:strRef>
              <c:f>'High Case'!$A$284</c:f>
              <c:strCache>
                <c:ptCount val="1"/>
                <c:pt idx="0">
                  <c:v>copper concentrate - net silver</c:v>
                </c:pt>
              </c:strCache>
            </c:strRef>
          </c:tx>
          <c:spPr>
            <a:ln>
              <a:solidFill>
                <a:schemeClr val="bg1">
                  <a:lumMod val="75000"/>
                </a:schemeClr>
              </a:solidFill>
            </a:ln>
          </c:spPr>
          <c:invertIfNegative val="0"/>
          <c:cat>
            <c:numRef>
              <c:f>'High Case'!$D$94:$AD$94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'High Case'!$D$284:$AD$284</c:f>
              <c:numCache>
                <c:formatCode>#,##0</c:formatCode>
                <c:ptCount val="27"/>
                <c:pt idx="0">
                  <c:v>0</c:v>
                </c:pt>
                <c:pt idx="1">
                  <c:v>0</c:v>
                </c:pt>
                <c:pt idx="2">
                  <c:v>13.946564722790612</c:v>
                </c:pt>
                <c:pt idx="3">
                  <c:v>13.946564722790606</c:v>
                </c:pt>
                <c:pt idx="4">
                  <c:v>13.946564722790606</c:v>
                </c:pt>
                <c:pt idx="5">
                  <c:v>13.946564722790606</c:v>
                </c:pt>
                <c:pt idx="6">
                  <c:v>13.946564722790612</c:v>
                </c:pt>
                <c:pt idx="7">
                  <c:v>2.7452986456201942</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2-4F7F-4E7B-A1F8-8A246A083C3F}"/>
            </c:ext>
          </c:extLst>
        </c:ser>
        <c:dLbls>
          <c:showLegendKey val="0"/>
          <c:showVal val="0"/>
          <c:showCatName val="0"/>
          <c:showSerName val="0"/>
          <c:showPercent val="0"/>
          <c:showBubbleSize val="0"/>
        </c:dLbls>
        <c:gapWidth val="0"/>
        <c:overlap val="100"/>
        <c:axId val="374916216"/>
        <c:axId val="374917392"/>
      </c:barChart>
      <c:catAx>
        <c:axId val="374916216"/>
        <c:scaling>
          <c:orientation val="minMax"/>
        </c:scaling>
        <c:delete val="0"/>
        <c:axPos val="b"/>
        <c:numFmt formatCode="0" sourceLinked="1"/>
        <c:majorTickMark val="out"/>
        <c:minorTickMark val="none"/>
        <c:tickLblPos val="nextTo"/>
        <c:txPr>
          <a:bodyPr/>
          <a:lstStyle/>
          <a:p>
            <a:pPr algn="ctr">
              <a:defRPr lang="en-US" sz="1000" b="1" i="0" u="none" strike="noStrike" kern="1200" baseline="0">
                <a:solidFill>
                  <a:schemeClr val="tx1"/>
                </a:solidFill>
                <a:latin typeface="+mn-lt"/>
                <a:ea typeface="+mn-ea"/>
                <a:cs typeface="+mn-cs"/>
              </a:defRPr>
            </a:pPr>
            <a:endParaRPr lang="en-US"/>
          </a:p>
        </c:txPr>
        <c:crossAx val="374917392"/>
        <c:crosses val="autoZero"/>
        <c:auto val="1"/>
        <c:lblAlgn val="ctr"/>
        <c:lblOffset val="100"/>
        <c:noMultiLvlLbl val="0"/>
      </c:catAx>
      <c:valAx>
        <c:axId val="374917392"/>
        <c:scaling>
          <c:orientation val="minMax"/>
        </c:scaling>
        <c:delete val="0"/>
        <c:axPos val="l"/>
        <c:majorGridlines/>
        <c:title>
          <c:tx>
            <c:rich>
              <a:bodyPr rot="-5400000" vert="horz"/>
              <a:lstStyle/>
              <a:p>
                <a:pPr>
                  <a:defRPr sz="1200" b="1"/>
                </a:pPr>
                <a:r>
                  <a:rPr lang="en-US" sz="1200" b="1"/>
                  <a:t>US$million</a:t>
                </a:r>
              </a:p>
            </c:rich>
          </c:tx>
          <c:layout>
            <c:manualLayout>
              <c:xMode val="edge"/>
              <c:yMode val="edge"/>
              <c:x val="1.5653154466802762E-2"/>
              <c:y val="0.42055477982985212"/>
            </c:manualLayout>
          </c:layout>
          <c:overlay val="0"/>
        </c:title>
        <c:numFmt formatCode="#,##0" sourceLinked="1"/>
        <c:majorTickMark val="out"/>
        <c:minorTickMark val="none"/>
        <c:tickLblPos val="nextTo"/>
        <c:txPr>
          <a:bodyPr/>
          <a:lstStyle/>
          <a:p>
            <a:pPr>
              <a:defRPr sz="1000" b="0"/>
            </a:pPr>
            <a:endParaRPr lang="en-US"/>
          </a:p>
        </c:txPr>
        <c:crossAx val="374916216"/>
        <c:crosses val="autoZero"/>
        <c:crossBetween val="between"/>
      </c:valAx>
    </c:plotArea>
    <c:legend>
      <c:legendPos val="b"/>
      <c:layout>
        <c:manualLayout>
          <c:xMode val="edge"/>
          <c:yMode val="edge"/>
          <c:x val="7.8389674974838675E-2"/>
          <c:y val="0.764848935549723"/>
          <c:w val="0.82001578750024673"/>
          <c:h val="0.23515106445027706"/>
        </c:manualLayout>
      </c:layout>
      <c:overlay val="0"/>
      <c:txPr>
        <a:bodyPr/>
        <a:lstStyle/>
        <a:p>
          <a:pPr>
            <a:defRPr lang="en-AU" sz="1000" b="0" i="0" u="none" strike="noStrike" kern="1200" baseline="0">
              <a:solidFill>
                <a:schemeClr val="tx1"/>
              </a:solidFill>
              <a:latin typeface="+mn-lt"/>
              <a:ea typeface="+mn-ea"/>
              <a:cs typeface="+mn-cs"/>
            </a:defRPr>
          </a:pPr>
          <a:endParaRPr lang="en-US"/>
        </a:p>
      </c:txPr>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Moly: Sales</a:t>
            </a:r>
            <a:r>
              <a:rPr lang="en-US" sz="1600" baseline="0"/>
              <a:t> Volumes</a:t>
            </a:r>
            <a:r>
              <a:rPr lang="en-US" sz="1600"/>
              <a:t> </a:t>
            </a:r>
          </a:p>
        </c:rich>
      </c:tx>
      <c:layout>
        <c:manualLayout>
          <c:xMode val="edge"/>
          <c:yMode val="edge"/>
          <c:x val="0.2952579292074472"/>
          <c:y val="1.1414216447643871E-2"/>
        </c:manualLayout>
      </c:layout>
      <c:overlay val="0"/>
    </c:title>
    <c:autoTitleDeleted val="0"/>
    <c:plotArea>
      <c:layout>
        <c:manualLayout>
          <c:layoutTarget val="inner"/>
          <c:xMode val="edge"/>
          <c:yMode val="edge"/>
          <c:x val="0.15095060625614834"/>
          <c:y val="0.11247633068164936"/>
          <c:w val="0.68647960465527091"/>
          <c:h val="0.51023000769843729"/>
        </c:manualLayout>
      </c:layout>
      <c:barChart>
        <c:barDir val="col"/>
        <c:grouping val="clustered"/>
        <c:varyColors val="0"/>
        <c:ser>
          <c:idx val="2"/>
          <c:order val="0"/>
          <c:tx>
            <c:strRef>
              <c:f>'High Case'!$A$179</c:f>
              <c:strCache>
                <c:ptCount val="1"/>
                <c:pt idx="0">
                  <c:v>moly concentrate - contained moly - High Case</c:v>
                </c:pt>
              </c:strCache>
            </c:strRef>
          </c:tx>
          <c:spPr>
            <a:solidFill>
              <a:schemeClr val="accent4">
                <a:lumMod val="40000"/>
                <a:lumOff val="60000"/>
              </a:schemeClr>
            </a:solidFill>
            <a:ln>
              <a:noFill/>
            </a:ln>
          </c:spPr>
          <c:invertIfNegative val="0"/>
          <c:cat>
            <c:numRef>
              <c:f>'High Case'!$D$94:$AD$94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'High Case'!$D$179:$AD$179</c:f>
              <c:numCache>
                <c:formatCode>#,##0.0</c:formatCode>
                <c:ptCount val="27"/>
                <c:pt idx="0">
                  <c:v>0</c:v>
                </c:pt>
                <c:pt idx="1">
                  <c:v>0</c:v>
                </c:pt>
                <c:pt idx="2">
                  <c:v>3.1984615384615376</c:v>
                </c:pt>
                <c:pt idx="3">
                  <c:v>5.04</c:v>
                </c:pt>
                <c:pt idx="4">
                  <c:v>5.04</c:v>
                </c:pt>
                <c:pt idx="5">
                  <c:v>5.04</c:v>
                </c:pt>
                <c:pt idx="6">
                  <c:v>5.2580769230769233</c:v>
                </c:pt>
                <c:pt idx="7">
                  <c:v>3.2953846153846156</c:v>
                </c:pt>
                <c:pt idx="8">
                  <c:v>1.8899999999999997</c:v>
                </c:pt>
                <c:pt idx="9">
                  <c:v>1.8899999999999997</c:v>
                </c:pt>
                <c:pt idx="10">
                  <c:v>1.8899999999999997</c:v>
                </c:pt>
                <c:pt idx="11">
                  <c:v>1.8899999999999997</c:v>
                </c:pt>
                <c:pt idx="12">
                  <c:v>2.108076923076923</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0-3AB6-4EA3-9498-3186D5518C6A}"/>
            </c:ext>
          </c:extLst>
        </c:ser>
        <c:dLbls>
          <c:showLegendKey val="0"/>
          <c:showVal val="0"/>
          <c:showCatName val="0"/>
          <c:showSerName val="0"/>
          <c:showPercent val="0"/>
          <c:showBubbleSize val="0"/>
        </c:dLbls>
        <c:gapWidth val="50"/>
        <c:axId val="374917000"/>
        <c:axId val="374920920"/>
      </c:barChart>
      <c:lineChart>
        <c:grouping val="standard"/>
        <c:varyColors val="0"/>
        <c:ser>
          <c:idx val="1"/>
          <c:order val="1"/>
          <c:tx>
            <c:strRef>
              <c:f>'High Case'!$A$301</c:f>
              <c:strCache>
                <c:ptCount val="1"/>
                <c:pt idx="0">
                  <c:v>moly concentrate sold</c:v>
                </c:pt>
              </c:strCache>
            </c:strRef>
          </c:tx>
          <c:spPr>
            <a:ln w="88900">
              <a:solidFill>
                <a:schemeClr val="accent4">
                  <a:lumMod val="75000"/>
                </a:schemeClr>
              </a:solidFill>
              <a:prstDash val="sysDot"/>
            </a:ln>
          </c:spPr>
          <c:marker>
            <c:symbol val="none"/>
          </c:marker>
          <c:cat>
            <c:numRef>
              <c:f>'High Case'!$D$94:$N$94</c:f>
              <c:numCache>
                <c:formatCode>0</c:formatCode>
                <c:ptCount val="11"/>
                <c:pt idx="0">
                  <c:v>2027</c:v>
                </c:pt>
                <c:pt idx="1">
                  <c:v>2028</c:v>
                </c:pt>
                <c:pt idx="2">
                  <c:v>2029</c:v>
                </c:pt>
                <c:pt idx="3">
                  <c:v>2030</c:v>
                </c:pt>
                <c:pt idx="4">
                  <c:v>2031</c:v>
                </c:pt>
                <c:pt idx="5">
                  <c:v>2032</c:v>
                </c:pt>
                <c:pt idx="6">
                  <c:v>2033</c:v>
                </c:pt>
                <c:pt idx="7">
                  <c:v>2034</c:v>
                </c:pt>
                <c:pt idx="8">
                  <c:v>2035</c:v>
                </c:pt>
                <c:pt idx="9">
                  <c:v>2036</c:v>
                </c:pt>
                <c:pt idx="10">
                  <c:v>2037</c:v>
                </c:pt>
              </c:numCache>
            </c:numRef>
          </c:cat>
          <c:val>
            <c:numRef>
              <c:f>'High Case'!$D$301:$AD$301</c:f>
              <c:numCache>
                <c:formatCode>#,##0</c:formatCode>
                <c:ptCount val="27"/>
                <c:pt idx="0">
                  <c:v>0</c:v>
                </c:pt>
                <c:pt idx="1">
                  <c:v>0</c:v>
                </c:pt>
                <c:pt idx="2">
                  <c:v>4.4733727810650876</c:v>
                </c:pt>
                <c:pt idx="3">
                  <c:v>8.3909628832705749</c:v>
                </c:pt>
                <c:pt idx="4">
                  <c:v>9.1636363636363622</c:v>
                </c:pt>
                <c:pt idx="5">
                  <c:v>9.1636363636363622</c:v>
                </c:pt>
                <c:pt idx="6">
                  <c:v>9.4686390532544369</c:v>
                </c:pt>
                <c:pt idx="7">
                  <c:v>6.8151156535771911</c:v>
                </c:pt>
                <c:pt idx="8">
                  <c:v>4.026035502958579</c:v>
                </c:pt>
                <c:pt idx="9">
                  <c:v>3.4363636363636361</c:v>
                </c:pt>
                <c:pt idx="10">
                  <c:v>3.4363636363636361</c:v>
                </c:pt>
                <c:pt idx="11">
                  <c:v>3.4363636363636361</c:v>
                </c:pt>
                <c:pt idx="12">
                  <c:v>4.6258741258741258</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mooth val="0"/>
          <c:extLst>
            <c:ext xmlns:c16="http://schemas.microsoft.com/office/drawing/2014/chart" uri="{C3380CC4-5D6E-409C-BE32-E72D297353CC}">
              <c16:uniqueId val="{00000001-3AB6-4EA3-9498-3186D5518C6A}"/>
            </c:ext>
          </c:extLst>
        </c:ser>
        <c:dLbls>
          <c:showLegendKey val="0"/>
          <c:showVal val="0"/>
          <c:showCatName val="0"/>
          <c:showSerName val="0"/>
          <c:showPercent val="0"/>
          <c:showBubbleSize val="0"/>
        </c:dLbls>
        <c:marker val="1"/>
        <c:smooth val="0"/>
        <c:axId val="374918176"/>
        <c:axId val="374919352"/>
      </c:lineChart>
      <c:catAx>
        <c:axId val="374917000"/>
        <c:scaling>
          <c:orientation val="minMax"/>
        </c:scaling>
        <c:delete val="0"/>
        <c:axPos val="b"/>
        <c:numFmt formatCode="0" sourceLinked="1"/>
        <c:majorTickMark val="out"/>
        <c:minorTickMark val="none"/>
        <c:tickLblPos val="nextTo"/>
        <c:txPr>
          <a:bodyPr/>
          <a:lstStyle/>
          <a:p>
            <a:pPr>
              <a:defRPr sz="1000"/>
            </a:pPr>
            <a:endParaRPr lang="en-US"/>
          </a:p>
        </c:txPr>
        <c:crossAx val="374920920"/>
        <c:crosses val="autoZero"/>
        <c:auto val="1"/>
        <c:lblAlgn val="ctr"/>
        <c:lblOffset val="100"/>
        <c:noMultiLvlLbl val="0"/>
      </c:catAx>
      <c:valAx>
        <c:axId val="374920920"/>
        <c:scaling>
          <c:orientation val="minMax"/>
        </c:scaling>
        <c:delete val="0"/>
        <c:axPos val="l"/>
        <c:majorGridlines/>
        <c:title>
          <c:tx>
            <c:rich>
              <a:bodyPr rot="-5400000" vert="horz"/>
              <a:lstStyle/>
              <a:p>
                <a:pPr>
                  <a:defRPr sz="1200">
                    <a:solidFill>
                      <a:schemeClr val="accent4">
                        <a:lumMod val="60000"/>
                        <a:lumOff val="40000"/>
                      </a:schemeClr>
                    </a:solidFill>
                  </a:defRPr>
                </a:pPr>
                <a:r>
                  <a:rPr lang="en-US" sz="1200">
                    <a:solidFill>
                      <a:schemeClr val="accent4">
                        <a:lumMod val="60000"/>
                        <a:lumOff val="40000"/>
                      </a:schemeClr>
                    </a:solidFill>
                  </a:rPr>
                  <a:t>Copper Tonnes  - 000s</a:t>
                </a:r>
              </a:p>
            </c:rich>
          </c:tx>
          <c:layout>
            <c:manualLayout>
              <c:xMode val="edge"/>
              <c:yMode val="edge"/>
              <c:x val="1.2593641916255794E-2"/>
              <c:y val="0.13085992895827986"/>
            </c:manualLayout>
          </c:layout>
          <c:overlay val="0"/>
        </c:title>
        <c:numFmt formatCode="#,##0.0" sourceLinked="1"/>
        <c:majorTickMark val="out"/>
        <c:minorTickMark val="none"/>
        <c:tickLblPos val="nextTo"/>
        <c:txPr>
          <a:bodyPr/>
          <a:lstStyle/>
          <a:p>
            <a:pPr>
              <a:defRPr sz="1000" b="1" baseline="0">
                <a:solidFill>
                  <a:schemeClr val="accent4">
                    <a:lumMod val="60000"/>
                    <a:lumOff val="40000"/>
                  </a:schemeClr>
                </a:solidFill>
              </a:defRPr>
            </a:pPr>
            <a:endParaRPr lang="en-US"/>
          </a:p>
        </c:txPr>
        <c:crossAx val="374917000"/>
        <c:crosses val="autoZero"/>
        <c:crossBetween val="between"/>
      </c:valAx>
      <c:catAx>
        <c:axId val="374918176"/>
        <c:scaling>
          <c:orientation val="minMax"/>
        </c:scaling>
        <c:delete val="1"/>
        <c:axPos val="b"/>
        <c:numFmt formatCode="0" sourceLinked="1"/>
        <c:majorTickMark val="out"/>
        <c:minorTickMark val="none"/>
        <c:tickLblPos val="none"/>
        <c:crossAx val="374919352"/>
        <c:crosses val="autoZero"/>
        <c:auto val="1"/>
        <c:lblAlgn val="ctr"/>
        <c:lblOffset val="100"/>
        <c:noMultiLvlLbl val="0"/>
      </c:catAx>
      <c:valAx>
        <c:axId val="374919352"/>
        <c:scaling>
          <c:orientation val="minMax"/>
        </c:scaling>
        <c:delete val="0"/>
        <c:axPos val="r"/>
        <c:title>
          <c:tx>
            <c:rich>
              <a:bodyPr rot="-5400000" vert="horz"/>
              <a:lstStyle/>
              <a:p>
                <a:pPr>
                  <a:defRPr sz="1200">
                    <a:solidFill>
                      <a:schemeClr val="accent4">
                        <a:lumMod val="75000"/>
                      </a:schemeClr>
                    </a:solidFill>
                  </a:defRPr>
                </a:pPr>
                <a:r>
                  <a:rPr lang="en-US" sz="1200">
                    <a:solidFill>
                      <a:schemeClr val="accent4">
                        <a:lumMod val="75000"/>
                      </a:schemeClr>
                    </a:solidFill>
                  </a:rPr>
                  <a:t>Concentrate dry tonnes 000's</a:t>
                </a:r>
              </a:p>
            </c:rich>
          </c:tx>
          <c:layout>
            <c:manualLayout>
              <c:xMode val="edge"/>
              <c:yMode val="edge"/>
              <c:x val="0.9256308411214953"/>
              <c:y val="7.5998703421077507E-2"/>
            </c:manualLayout>
          </c:layout>
          <c:overlay val="0"/>
        </c:title>
        <c:numFmt formatCode="#,##0" sourceLinked="1"/>
        <c:majorTickMark val="out"/>
        <c:minorTickMark val="none"/>
        <c:tickLblPos val="nextTo"/>
        <c:txPr>
          <a:bodyPr/>
          <a:lstStyle/>
          <a:p>
            <a:pPr>
              <a:defRPr sz="1000" b="1" baseline="0">
                <a:solidFill>
                  <a:schemeClr val="accent4">
                    <a:lumMod val="75000"/>
                  </a:schemeClr>
                </a:solidFill>
              </a:defRPr>
            </a:pPr>
            <a:endParaRPr lang="en-US"/>
          </a:p>
        </c:txPr>
        <c:crossAx val="374918176"/>
        <c:crosses val="max"/>
        <c:crossBetween val="between"/>
      </c:valAx>
    </c:plotArea>
    <c:legend>
      <c:legendPos val="b"/>
      <c:layout>
        <c:manualLayout>
          <c:xMode val="edge"/>
          <c:yMode val="edge"/>
          <c:x val="0.21448421220074762"/>
          <c:y val="0.76708607393201067"/>
          <c:w val="0.72996023224369677"/>
          <c:h val="0.20082675934222782"/>
        </c:manualLayout>
      </c:layout>
      <c:overlay val="0"/>
      <c:txPr>
        <a:bodyPr/>
        <a:lstStyle/>
        <a:p>
          <a:pPr>
            <a:defRPr sz="1000" b="1"/>
          </a:pPr>
          <a:endParaRPr lang="en-US"/>
        </a:p>
      </c:txPr>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Cash Generation </a:t>
            </a:r>
            <a:r>
              <a:rPr lang="en-US" sz="1600" b="0"/>
              <a:t>- high case </a:t>
            </a:r>
          </a:p>
        </c:rich>
      </c:tx>
      <c:layout>
        <c:manualLayout>
          <c:xMode val="edge"/>
          <c:yMode val="edge"/>
          <c:x val="0.22192327284108973"/>
          <c:y val="4.3589114853267226E-2"/>
        </c:manualLayout>
      </c:layout>
      <c:overlay val="0"/>
    </c:title>
    <c:autoTitleDeleted val="0"/>
    <c:plotArea>
      <c:layout>
        <c:manualLayout>
          <c:layoutTarget val="inner"/>
          <c:xMode val="edge"/>
          <c:yMode val="edge"/>
          <c:x val="0.15450255000276172"/>
          <c:y val="5.9910251180138693E-2"/>
          <c:w val="0.81359584143953956"/>
          <c:h val="0.76572054335867135"/>
        </c:manualLayout>
      </c:layout>
      <c:barChart>
        <c:barDir val="col"/>
        <c:grouping val="stacked"/>
        <c:varyColors val="0"/>
        <c:ser>
          <c:idx val="0"/>
          <c:order val="0"/>
          <c:tx>
            <c:strRef>
              <c:f>'High Case'!$A$748</c:f>
              <c:strCache>
                <c:ptCount val="1"/>
                <c:pt idx="0">
                  <c:v>Cash Generation - High Case</c:v>
                </c:pt>
              </c:strCache>
            </c:strRef>
          </c:tx>
          <c:spPr>
            <a:solidFill>
              <a:srgbClr val="00B050"/>
            </a:solidFill>
            <a:ln>
              <a:noFill/>
            </a:ln>
          </c:spPr>
          <c:invertIfNegative val="0"/>
          <c:cat>
            <c:numRef>
              <c:f>'Expected NPV &amp; Common Data'!$D$36:$AD$36</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'High Case'!$D$748:$AD$748</c:f>
              <c:numCache>
                <c:formatCode>#,##0_);[Red]\(#,##0\)</c:formatCode>
                <c:ptCount val="27"/>
                <c:pt idx="0">
                  <c:v>-241.92</c:v>
                </c:pt>
                <c:pt idx="1">
                  <c:v>-577.44000000000005</c:v>
                </c:pt>
                <c:pt idx="2">
                  <c:v>93.760992709346283</c:v>
                </c:pt>
                <c:pt idx="3">
                  <c:v>441.26933093128264</c:v>
                </c:pt>
                <c:pt idx="4">
                  <c:v>393.29937686806022</c:v>
                </c:pt>
                <c:pt idx="5">
                  <c:v>367.67472684351844</c:v>
                </c:pt>
                <c:pt idx="6">
                  <c:v>325.35452755934483</c:v>
                </c:pt>
                <c:pt idx="7">
                  <c:v>250.32367414431872</c:v>
                </c:pt>
                <c:pt idx="8">
                  <c:v>191.18466876145746</c:v>
                </c:pt>
                <c:pt idx="9">
                  <c:v>157.79100136292652</c:v>
                </c:pt>
                <c:pt idx="10">
                  <c:v>170.52986863478588</c:v>
                </c:pt>
                <c:pt idx="11">
                  <c:v>166.38839446352188</c:v>
                </c:pt>
                <c:pt idx="12">
                  <c:v>179.58491552037464</c:v>
                </c:pt>
                <c:pt idx="13">
                  <c:v>157.40896526818415</c:v>
                </c:pt>
                <c:pt idx="14">
                  <c:v>155.35299149718406</c:v>
                </c:pt>
                <c:pt idx="15">
                  <c:v>196.71294352412858</c:v>
                </c:pt>
                <c:pt idx="16">
                  <c:v>337.21904640531193</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0-3004-4A81-88DC-D7ABE940419B}"/>
            </c:ext>
          </c:extLst>
        </c:ser>
        <c:dLbls>
          <c:showLegendKey val="0"/>
          <c:showVal val="0"/>
          <c:showCatName val="0"/>
          <c:showSerName val="0"/>
          <c:showPercent val="0"/>
          <c:showBubbleSize val="0"/>
        </c:dLbls>
        <c:gapWidth val="0"/>
        <c:overlap val="100"/>
        <c:axId val="371322096"/>
        <c:axId val="371323272"/>
      </c:barChart>
      <c:lineChart>
        <c:grouping val="standard"/>
        <c:varyColors val="0"/>
        <c:ser>
          <c:idx val="1"/>
          <c:order val="1"/>
          <c:tx>
            <c:strRef>
              <c:f>'High Case'!$A$749</c:f>
              <c:strCache>
                <c:ptCount val="1"/>
                <c:pt idx="0">
                  <c:v>Cumuative Cash Generation</c:v>
                </c:pt>
              </c:strCache>
            </c:strRef>
          </c:tx>
          <c:spPr>
            <a:ln w="28575">
              <a:solidFill>
                <a:srgbClr val="00FF00"/>
              </a:solidFill>
            </a:ln>
          </c:spPr>
          <c:marker>
            <c:symbol val="none"/>
          </c:marker>
          <c:cat>
            <c:numRef>
              <c:f>'Expected NPV &amp; Common Data'!$D$36:$AD$36</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'High Case'!$D$749:$AD$749</c:f>
              <c:numCache>
                <c:formatCode>#,##0_);[Red]\(#,##0\)</c:formatCode>
                <c:ptCount val="27"/>
                <c:pt idx="0">
                  <c:v>-241.92</c:v>
                </c:pt>
                <c:pt idx="1">
                  <c:v>-819.36</c:v>
                </c:pt>
                <c:pt idx="2">
                  <c:v>-725.59900729065373</c:v>
                </c:pt>
                <c:pt idx="3">
                  <c:v>-284.32967635937109</c:v>
                </c:pt>
                <c:pt idx="4">
                  <c:v>108.96970050868913</c:v>
                </c:pt>
                <c:pt idx="5">
                  <c:v>476.64442735220757</c:v>
                </c:pt>
                <c:pt idx="6">
                  <c:v>801.99895491155235</c:v>
                </c:pt>
                <c:pt idx="7">
                  <c:v>1052.3226290558709</c:v>
                </c:pt>
                <c:pt idx="8">
                  <c:v>1243.5072978173284</c:v>
                </c:pt>
                <c:pt idx="9">
                  <c:v>1401.2982991802551</c:v>
                </c:pt>
                <c:pt idx="10">
                  <c:v>1571.8281678150411</c:v>
                </c:pt>
                <c:pt idx="11">
                  <c:v>1738.2165622785628</c:v>
                </c:pt>
                <c:pt idx="12">
                  <c:v>1917.8014777989374</c:v>
                </c:pt>
                <c:pt idx="13">
                  <c:v>2075.2104430671216</c:v>
                </c:pt>
                <c:pt idx="14">
                  <c:v>2230.5634345643057</c:v>
                </c:pt>
                <c:pt idx="15">
                  <c:v>2427.2763780884343</c:v>
                </c:pt>
                <c:pt idx="16">
                  <c:v>2764.4954244937462</c:v>
                </c:pt>
                <c:pt idx="17">
                  <c:v>2764.4954244937462</c:v>
                </c:pt>
                <c:pt idx="18">
                  <c:v>2764.4954244937462</c:v>
                </c:pt>
                <c:pt idx="19">
                  <c:v>2764.4954244937462</c:v>
                </c:pt>
                <c:pt idx="20">
                  <c:v>2764.4954244937462</c:v>
                </c:pt>
                <c:pt idx="21">
                  <c:v>2764.4954244937462</c:v>
                </c:pt>
                <c:pt idx="22">
                  <c:v>2764.4954244937462</c:v>
                </c:pt>
                <c:pt idx="23">
                  <c:v>2764.4954244937462</c:v>
                </c:pt>
                <c:pt idx="24">
                  <c:v>2764.4954244937462</c:v>
                </c:pt>
                <c:pt idx="25">
                  <c:v>2764.4954244937462</c:v>
                </c:pt>
                <c:pt idx="26">
                  <c:v>2764.4954244937462</c:v>
                </c:pt>
              </c:numCache>
            </c:numRef>
          </c:val>
          <c:smooth val="0"/>
          <c:extLst>
            <c:ext xmlns:c16="http://schemas.microsoft.com/office/drawing/2014/chart" uri="{C3380CC4-5D6E-409C-BE32-E72D297353CC}">
              <c16:uniqueId val="{00000001-3004-4A81-88DC-D7ABE940419B}"/>
            </c:ext>
          </c:extLst>
        </c:ser>
        <c:dLbls>
          <c:showLegendKey val="0"/>
          <c:showVal val="0"/>
          <c:showCatName val="0"/>
          <c:showSerName val="0"/>
          <c:showPercent val="0"/>
          <c:showBubbleSize val="0"/>
        </c:dLbls>
        <c:marker val="1"/>
        <c:smooth val="0"/>
        <c:axId val="371322096"/>
        <c:axId val="371323272"/>
      </c:lineChart>
      <c:catAx>
        <c:axId val="371322096"/>
        <c:scaling>
          <c:orientation val="minMax"/>
        </c:scaling>
        <c:delete val="0"/>
        <c:axPos val="b"/>
        <c:numFmt formatCode="0" sourceLinked="1"/>
        <c:majorTickMark val="out"/>
        <c:minorTickMark val="none"/>
        <c:tickLblPos val="nextTo"/>
        <c:txPr>
          <a:bodyPr/>
          <a:lstStyle/>
          <a:p>
            <a:pPr>
              <a:defRPr sz="1050" b="0"/>
            </a:pPr>
            <a:endParaRPr lang="en-US"/>
          </a:p>
        </c:txPr>
        <c:crossAx val="371323272"/>
        <c:crosses val="autoZero"/>
        <c:auto val="1"/>
        <c:lblAlgn val="ctr"/>
        <c:lblOffset val="100"/>
        <c:noMultiLvlLbl val="0"/>
      </c:catAx>
      <c:valAx>
        <c:axId val="371323272"/>
        <c:scaling>
          <c:orientation val="minMax"/>
        </c:scaling>
        <c:delete val="0"/>
        <c:axPos val="l"/>
        <c:majorGridlines/>
        <c:title>
          <c:tx>
            <c:rich>
              <a:bodyPr rot="-5400000" vert="horz"/>
              <a:lstStyle/>
              <a:p>
                <a:pPr>
                  <a:defRPr sz="1200" b="0">
                    <a:solidFill>
                      <a:srgbClr val="00B050"/>
                    </a:solidFill>
                  </a:defRPr>
                </a:pPr>
                <a:r>
                  <a:rPr lang="en-US" sz="1200" b="0">
                    <a:solidFill>
                      <a:srgbClr val="00B050"/>
                    </a:solidFill>
                  </a:rPr>
                  <a:t>US$ Millions Real</a:t>
                </a:r>
              </a:p>
            </c:rich>
          </c:tx>
          <c:layout>
            <c:manualLayout>
              <c:xMode val="edge"/>
              <c:yMode val="edge"/>
              <c:x val="1.6170768392842341E-2"/>
              <c:y val="0.20678074458569781"/>
            </c:manualLayout>
          </c:layout>
          <c:overlay val="0"/>
        </c:title>
        <c:numFmt formatCode="#,##0" sourceLinked="0"/>
        <c:majorTickMark val="out"/>
        <c:minorTickMark val="none"/>
        <c:tickLblPos val="nextTo"/>
        <c:txPr>
          <a:bodyPr/>
          <a:lstStyle/>
          <a:p>
            <a:pPr>
              <a:defRPr sz="1000" b="0">
                <a:solidFill>
                  <a:srgbClr val="00B050"/>
                </a:solidFill>
              </a:defRPr>
            </a:pPr>
            <a:endParaRPr lang="en-US"/>
          </a:p>
        </c:txPr>
        <c:crossAx val="371322096"/>
        <c:crosses val="autoZero"/>
        <c:crossBetween val="between"/>
      </c:valAx>
    </c:plotArea>
    <c:legend>
      <c:legendPos val="b"/>
      <c:layout>
        <c:manualLayout>
          <c:xMode val="edge"/>
          <c:yMode val="edge"/>
          <c:x val="2.3239789831465876E-2"/>
          <c:y val="0.81995028241624546"/>
          <c:w val="0.94215320487536447"/>
          <c:h val="0.15773115274356075"/>
        </c:manualLayout>
      </c:layout>
      <c:overlay val="0"/>
      <c:txPr>
        <a:bodyPr/>
        <a:lstStyle/>
        <a:p>
          <a:pPr>
            <a:defRPr sz="1000" b="0"/>
          </a:pPr>
          <a:endParaRPr lang="en-US"/>
        </a:p>
      </c:txPr>
    </c:legend>
    <c:plotVisOnly val="1"/>
    <c:dispBlanksAs val="gap"/>
    <c:showDLblsOverMax val="0"/>
  </c:chart>
  <c:txPr>
    <a:bodyPr/>
    <a:lstStyle/>
    <a:p>
      <a:pPr algn="ctr">
        <a:defRPr lang="en-AU" sz="1600" b="1" i="0" u="none" strike="noStrike" kern="1200" baseline="0">
          <a:solidFill>
            <a:sysClr val="windowText" lastClr="000000"/>
          </a:solidFill>
          <a:latin typeface="+mn-lt"/>
          <a:ea typeface="+mn-ea"/>
          <a:cs typeface="+mn-cs"/>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Four Cash Streams - </a:t>
            </a:r>
            <a:r>
              <a:rPr lang="en-US" sz="1600" b="0"/>
              <a:t>mid case</a:t>
            </a:r>
          </a:p>
        </c:rich>
      </c:tx>
      <c:layout>
        <c:manualLayout>
          <c:xMode val="edge"/>
          <c:yMode val="edge"/>
          <c:x val="0.29349411746585669"/>
          <c:y val="0"/>
        </c:manualLayout>
      </c:layout>
      <c:overlay val="1"/>
    </c:title>
    <c:autoTitleDeleted val="0"/>
    <c:plotArea>
      <c:layout>
        <c:manualLayout>
          <c:layoutTarget val="inner"/>
          <c:xMode val="edge"/>
          <c:yMode val="edge"/>
          <c:x val="0.12380399637186569"/>
          <c:y val="0.11916846903789058"/>
          <c:w val="0.85180259084941345"/>
          <c:h val="0.72124088556519828"/>
        </c:manualLayout>
      </c:layout>
      <c:barChart>
        <c:barDir val="col"/>
        <c:grouping val="stacked"/>
        <c:varyColors val="0"/>
        <c:ser>
          <c:idx val="0"/>
          <c:order val="0"/>
          <c:tx>
            <c:strRef>
              <c:f>'Mid Case'!$A$766</c:f>
              <c:strCache>
                <c:ptCount val="1"/>
                <c:pt idx="0">
                  <c:v>Cashstream 2: Capital Costs - Mid Case</c:v>
                </c:pt>
              </c:strCache>
            </c:strRef>
          </c:tx>
          <c:spPr>
            <a:solidFill>
              <a:srgbClr val="00B0F0"/>
            </a:solidFill>
            <a:ln>
              <a:noFill/>
            </a:ln>
          </c:spPr>
          <c:invertIfNegative val="0"/>
          <c:cat>
            <c:numRef>
              <c:f>'Expected NPV &amp; Common Data'!$D$36:$AD$36</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'Mid Case'!$D$766:$AD$766</c:f>
              <c:numCache>
                <c:formatCode>#,##0</c:formatCode>
                <c:ptCount val="27"/>
                <c:pt idx="0">
                  <c:v>-276.25</c:v>
                </c:pt>
                <c:pt idx="1">
                  <c:v>-477.75</c:v>
                </c:pt>
                <c:pt idx="2">
                  <c:v>-75.451999999999998</c:v>
                </c:pt>
                <c:pt idx="3">
                  <c:v>-31.902000000000001</c:v>
                </c:pt>
                <c:pt idx="4">
                  <c:v>-31.902000000000001</c:v>
                </c:pt>
                <c:pt idx="5">
                  <c:v>-48.152000000000001</c:v>
                </c:pt>
                <c:pt idx="6">
                  <c:v>-31.902000000000001</c:v>
                </c:pt>
                <c:pt idx="7">
                  <c:v>-31.902000000000001</c:v>
                </c:pt>
                <c:pt idx="8">
                  <c:v>-31.902000000000001</c:v>
                </c:pt>
                <c:pt idx="9">
                  <c:v>-44.902000000000001</c:v>
                </c:pt>
                <c:pt idx="10">
                  <c:v>-31.902000000000001</c:v>
                </c:pt>
                <c:pt idx="11">
                  <c:v>-31.902000000000001</c:v>
                </c:pt>
                <c:pt idx="12">
                  <c:v>-31.902000000000001</c:v>
                </c:pt>
                <c:pt idx="13">
                  <c:v>-41.652000000000001</c:v>
                </c:pt>
                <c:pt idx="14">
                  <c:v>-31.902000000000001</c:v>
                </c:pt>
                <c:pt idx="15">
                  <c:v>-31.902000000000001</c:v>
                </c:pt>
                <c:pt idx="16">
                  <c:v>-31.902000000000001</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0-61F5-4C4A-A451-7ED2EEE24978}"/>
            </c:ext>
          </c:extLst>
        </c:ser>
        <c:ser>
          <c:idx val="1"/>
          <c:order val="1"/>
          <c:tx>
            <c:strRef>
              <c:f>'Mid Case'!$A$767</c:f>
              <c:strCache>
                <c:ptCount val="1"/>
                <c:pt idx="0">
                  <c:v>Cashstream 3: Operating Costs - Mid Case</c:v>
                </c:pt>
              </c:strCache>
            </c:strRef>
          </c:tx>
          <c:spPr>
            <a:solidFill>
              <a:srgbClr val="FFFF00"/>
            </a:solidFill>
            <a:ln>
              <a:noFill/>
            </a:ln>
          </c:spPr>
          <c:invertIfNegative val="0"/>
          <c:cat>
            <c:numRef>
              <c:f>'Expected NPV &amp; Common Data'!$D$36:$AD$36</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'Mid Case'!$D$767:$AD$767</c:f>
              <c:numCache>
                <c:formatCode>#,##0</c:formatCode>
                <c:ptCount val="27"/>
                <c:pt idx="0">
                  <c:v>-2.4699999999999998</c:v>
                </c:pt>
                <c:pt idx="1">
                  <c:v>-137.73500000000001</c:v>
                </c:pt>
                <c:pt idx="2">
                  <c:v>-282.372555483871</c:v>
                </c:pt>
                <c:pt idx="3">
                  <c:v>-323.09552780031584</c:v>
                </c:pt>
                <c:pt idx="4">
                  <c:v>-413.65656403417398</c:v>
                </c:pt>
                <c:pt idx="5">
                  <c:v>-415.92908778399755</c:v>
                </c:pt>
                <c:pt idx="6">
                  <c:v>-480.37113850550668</c:v>
                </c:pt>
                <c:pt idx="7">
                  <c:v>-457.43240063366727</c:v>
                </c:pt>
                <c:pt idx="8">
                  <c:v>-461.2797972823202</c:v>
                </c:pt>
                <c:pt idx="9">
                  <c:v>-464.52446145625186</c:v>
                </c:pt>
                <c:pt idx="10">
                  <c:v>-467.76969500792745</c:v>
                </c:pt>
                <c:pt idx="11">
                  <c:v>-471.01553089511975</c:v>
                </c:pt>
                <c:pt idx="12">
                  <c:v>-457.8923683133583</c:v>
                </c:pt>
                <c:pt idx="13">
                  <c:v>-360.56785936849758</c:v>
                </c:pt>
                <c:pt idx="14">
                  <c:v>-362.94732049197239</c:v>
                </c:pt>
                <c:pt idx="15">
                  <c:v>-322.44717113058391</c:v>
                </c:pt>
                <c:pt idx="16">
                  <c:v>-409.28266458584551</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1-61F5-4C4A-A451-7ED2EEE24978}"/>
            </c:ext>
          </c:extLst>
        </c:ser>
        <c:ser>
          <c:idx val="2"/>
          <c:order val="2"/>
          <c:tx>
            <c:strRef>
              <c:f>'Mid Case'!$A$768</c:f>
              <c:strCache>
                <c:ptCount val="1"/>
                <c:pt idx="0">
                  <c:v>Cashstream 4: Taxes - Mid Case</c:v>
                </c:pt>
              </c:strCache>
            </c:strRef>
          </c:tx>
          <c:spPr>
            <a:solidFill>
              <a:srgbClr val="FF0000"/>
            </a:solidFill>
            <a:ln>
              <a:noFill/>
            </a:ln>
          </c:spPr>
          <c:invertIfNegative val="0"/>
          <c:cat>
            <c:numRef>
              <c:f>'Expected NPV &amp; Common Data'!$D$36:$AD$36</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'Mid Case'!$D$768:$AD$768</c:f>
              <c:numCache>
                <c:formatCode>#,##0</c:formatCode>
                <c:ptCount val="27"/>
                <c:pt idx="0">
                  <c:v>0</c:v>
                </c:pt>
                <c:pt idx="1">
                  <c:v>0</c:v>
                </c:pt>
                <c:pt idx="2">
                  <c:v>-32.176543564354382</c:v>
                </c:pt>
                <c:pt idx="3">
                  <c:v>-57.840493702541224</c:v>
                </c:pt>
                <c:pt idx="4">
                  <c:v>-95.350421911983048</c:v>
                </c:pt>
                <c:pt idx="5">
                  <c:v>-124.24476638974502</c:v>
                </c:pt>
                <c:pt idx="6">
                  <c:v>-121.90955532374035</c:v>
                </c:pt>
                <c:pt idx="7">
                  <c:v>-97.354727988172087</c:v>
                </c:pt>
                <c:pt idx="8">
                  <c:v>-80.341469497587482</c:v>
                </c:pt>
                <c:pt idx="9">
                  <c:v>-77.489423941401583</c:v>
                </c:pt>
                <c:pt idx="10">
                  <c:v>-77.732571323444319</c:v>
                </c:pt>
                <c:pt idx="11">
                  <c:v>-77.651397279038306</c:v>
                </c:pt>
                <c:pt idx="12">
                  <c:v>-89.0177810331367</c:v>
                </c:pt>
                <c:pt idx="13">
                  <c:v>-79.961609431326892</c:v>
                </c:pt>
                <c:pt idx="14">
                  <c:v>-78.545159296634608</c:v>
                </c:pt>
                <c:pt idx="15">
                  <c:v>-88.933124158477938</c:v>
                </c:pt>
                <c:pt idx="16">
                  <c:v>-82.27870090521931</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2-61F5-4C4A-A451-7ED2EEE24978}"/>
            </c:ext>
          </c:extLst>
        </c:ser>
        <c:ser>
          <c:idx val="3"/>
          <c:order val="3"/>
          <c:tx>
            <c:strRef>
              <c:f>'Mid Case'!$A$769</c:f>
              <c:strCache>
                <c:ptCount val="1"/>
                <c:pt idx="0">
                  <c:v>Cashflow if positive</c:v>
                </c:pt>
              </c:strCache>
            </c:strRef>
          </c:tx>
          <c:spPr>
            <a:solidFill>
              <a:srgbClr val="33CC33"/>
            </a:solidFill>
            <a:ln>
              <a:noFill/>
            </a:ln>
          </c:spPr>
          <c:invertIfNegative val="0"/>
          <c:cat>
            <c:numRef>
              <c:f>'Expected NPV &amp; Common Data'!$D$36:$AD$36</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'Mid Case'!$D$769:$AD$769</c:f>
              <c:numCache>
                <c:formatCode>#,##0</c:formatCode>
                <c:ptCount val="27"/>
                <c:pt idx="0">
                  <c:v>0</c:v>
                </c:pt>
                <c:pt idx="1">
                  <c:v>0</c:v>
                </c:pt>
                <c:pt idx="2">
                  <c:v>0</c:v>
                </c:pt>
                <c:pt idx="3">
                  <c:v>320.82295087143797</c:v>
                </c:pt>
                <c:pt idx="4">
                  <c:v>271.65290585824454</c:v>
                </c:pt>
                <c:pt idx="5">
                  <c:v>228.80286139239027</c:v>
                </c:pt>
                <c:pt idx="6">
                  <c:v>209.35751292840399</c:v>
                </c:pt>
                <c:pt idx="7">
                  <c:v>156.431732792216</c:v>
                </c:pt>
                <c:pt idx="8">
                  <c:v>102.67215891750872</c:v>
                </c:pt>
                <c:pt idx="9">
                  <c:v>74.846079182057565</c:v>
                </c:pt>
                <c:pt idx="10">
                  <c:v>83.528047811437403</c:v>
                </c:pt>
                <c:pt idx="11">
                  <c:v>80.363385968651116</c:v>
                </c:pt>
                <c:pt idx="12">
                  <c:v>106.14370380513084</c:v>
                </c:pt>
                <c:pt idx="13">
                  <c:v>99.998709094265578</c:v>
                </c:pt>
                <c:pt idx="14">
                  <c:v>95.952115007443638</c:v>
                </c:pt>
                <c:pt idx="15">
                  <c:v>125.75649663889823</c:v>
                </c:pt>
                <c:pt idx="16">
                  <c:v>256.49154346604172</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3-61F5-4C4A-A451-7ED2EEE24978}"/>
            </c:ext>
          </c:extLst>
        </c:ser>
        <c:ser>
          <c:idx val="4"/>
          <c:order val="4"/>
          <c:tx>
            <c:strRef>
              <c:f>'Mid Case'!$A$770</c:f>
              <c:strCache>
                <c:ptCount val="1"/>
                <c:pt idx="0">
                  <c:v>Cashflow Deficit</c:v>
                </c:pt>
              </c:strCache>
            </c:strRef>
          </c:tx>
          <c:spPr>
            <a:noFill/>
            <a:ln w="34925">
              <a:solidFill>
                <a:srgbClr val="FF99FF"/>
              </a:solidFill>
              <a:prstDash val="dash"/>
            </a:ln>
          </c:spPr>
          <c:invertIfNegative val="0"/>
          <c:cat>
            <c:numRef>
              <c:f>'Expected NPV &amp; Common Data'!$D$36:$AD$36</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'Mid Case'!$D$770:$AD$770</c:f>
              <c:numCache>
                <c:formatCode>#,##0</c:formatCode>
                <c:ptCount val="27"/>
                <c:pt idx="0">
                  <c:v>278.72000000000003</c:v>
                </c:pt>
                <c:pt idx="1">
                  <c:v>615.48500000000001</c:v>
                </c:pt>
                <c:pt idx="2">
                  <c:v>2.6325615726248444</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4-61F5-4C4A-A451-7ED2EEE24978}"/>
            </c:ext>
          </c:extLst>
        </c:ser>
        <c:dLbls>
          <c:showLegendKey val="0"/>
          <c:showVal val="0"/>
          <c:showCatName val="0"/>
          <c:showSerName val="0"/>
          <c:showPercent val="0"/>
          <c:showBubbleSize val="0"/>
        </c:dLbls>
        <c:gapWidth val="0"/>
        <c:overlap val="100"/>
        <c:axId val="371323664"/>
        <c:axId val="371324840"/>
      </c:barChart>
      <c:catAx>
        <c:axId val="371323664"/>
        <c:scaling>
          <c:orientation val="minMax"/>
        </c:scaling>
        <c:delete val="0"/>
        <c:axPos val="b"/>
        <c:numFmt formatCode="0" sourceLinked="1"/>
        <c:majorTickMark val="out"/>
        <c:minorTickMark val="none"/>
        <c:tickLblPos val="nextTo"/>
        <c:txPr>
          <a:bodyPr/>
          <a:lstStyle/>
          <a:p>
            <a:pPr>
              <a:defRPr sz="1000"/>
            </a:pPr>
            <a:endParaRPr lang="en-US"/>
          </a:p>
        </c:txPr>
        <c:crossAx val="371324840"/>
        <c:crosses val="autoZero"/>
        <c:auto val="1"/>
        <c:lblAlgn val="ctr"/>
        <c:lblOffset val="100"/>
        <c:noMultiLvlLbl val="0"/>
      </c:catAx>
      <c:valAx>
        <c:axId val="371324840"/>
        <c:scaling>
          <c:orientation val="minMax"/>
        </c:scaling>
        <c:delete val="0"/>
        <c:axPos val="l"/>
        <c:majorGridlines/>
        <c:title>
          <c:tx>
            <c:rich>
              <a:bodyPr rot="-5400000" vert="horz"/>
              <a:lstStyle/>
              <a:p>
                <a:pPr>
                  <a:defRPr sz="1200" b="1"/>
                </a:pPr>
                <a:r>
                  <a:rPr lang="en-US" sz="1200" b="1"/>
                  <a:t>US$ millions Real</a:t>
                </a:r>
              </a:p>
            </c:rich>
          </c:tx>
          <c:layout>
            <c:manualLayout>
              <c:xMode val="edge"/>
              <c:yMode val="edge"/>
              <c:x val="1.2832939907668773E-2"/>
              <c:y val="0.21479721712868088"/>
            </c:manualLayout>
          </c:layout>
          <c:overlay val="0"/>
        </c:title>
        <c:numFmt formatCode="#,##0" sourceLinked="0"/>
        <c:majorTickMark val="out"/>
        <c:minorTickMark val="none"/>
        <c:tickLblPos val="nextTo"/>
        <c:txPr>
          <a:bodyPr/>
          <a:lstStyle/>
          <a:p>
            <a:pPr>
              <a:defRPr sz="1000" b="0" baseline="0"/>
            </a:pPr>
            <a:endParaRPr lang="en-US"/>
          </a:p>
        </c:txPr>
        <c:crossAx val="371323664"/>
        <c:crosses val="autoZero"/>
        <c:crossBetween val="between"/>
      </c:valAx>
    </c:plotArea>
    <c:legend>
      <c:legendPos val="b"/>
      <c:legendEntry>
        <c:idx val="2"/>
        <c:txPr>
          <a:bodyPr/>
          <a:lstStyle/>
          <a:p>
            <a:pPr>
              <a:defRPr sz="1000" b="0"/>
            </a:pPr>
            <a:endParaRPr lang="en-US"/>
          </a:p>
        </c:txPr>
      </c:legendEntry>
      <c:layout>
        <c:manualLayout>
          <c:xMode val="edge"/>
          <c:yMode val="edge"/>
          <c:x val="2.5109279334459963E-3"/>
          <c:y val="0.78795353621601616"/>
          <c:w val="0.99042838483052742"/>
          <c:h val="0.19085690304973604"/>
        </c:manualLayout>
      </c:layout>
      <c:overlay val="0"/>
      <c:spPr>
        <a:solidFill>
          <a:schemeClr val="bg1"/>
        </a:solidFill>
      </c:spPr>
      <c:txPr>
        <a:bodyPr/>
        <a:lstStyle/>
        <a:p>
          <a:pPr>
            <a:defRPr sz="1000" b="0"/>
          </a:pPr>
          <a:endParaRPr lang="en-US"/>
        </a:p>
      </c:txPr>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rtl="0">
              <a:defRPr lang="en-US" sz="1600" b="1" i="0" u="none" strike="noStrike" kern="1200" baseline="0">
                <a:solidFill>
                  <a:sysClr val="windowText" lastClr="000000"/>
                </a:solidFill>
                <a:latin typeface="+mn-lt"/>
                <a:ea typeface="+mn-ea"/>
                <a:cs typeface="+mn-cs"/>
              </a:defRPr>
            </a:pPr>
            <a:r>
              <a:rPr lang="en-US" sz="1600" b="1" i="0" u="none" strike="noStrike" kern="1200" baseline="0">
                <a:solidFill>
                  <a:sysClr val="windowText" lastClr="000000"/>
                </a:solidFill>
                <a:latin typeface="+mn-lt"/>
                <a:ea typeface="+mn-ea"/>
                <a:cs typeface="+mn-cs"/>
              </a:rPr>
              <a:t>Mining</a:t>
            </a:r>
          </a:p>
        </c:rich>
      </c:tx>
      <c:layout>
        <c:manualLayout>
          <c:xMode val="edge"/>
          <c:yMode val="edge"/>
          <c:x val="0.22086087156496795"/>
          <c:y val="8.2558487528508318E-5"/>
        </c:manualLayout>
      </c:layout>
      <c:overlay val="1"/>
    </c:title>
    <c:autoTitleDeleted val="0"/>
    <c:plotArea>
      <c:layout>
        <c:manualLayout>
          <c:layoutTarget val="inner"/>
          <c:xMode val="edge"/>
          <c:yMode val="edge"/>
          <c:x val="0.16228495070978013"/>
          <c:y val="8.7811106397508457E-2"/>
          <c:w val="0.80360212962909361"/>
          <c:h val="0.5705398293103271"/>
        </c:manualLayout>
      </c:layout>
      <c:barChart>
        <c:barDir val="col"/>
        <c:grouping val="stacked"/>
        <c:varyColors val="0"/>
        <c:ser>
          <c:idx val="4"/>
          <c:order val="0"/>
          <c:tx>
            <c:strRef>
              <c:f>'Mid Case'!$A$117</c:f>
              <c:strCache>
                <c:ptCount val="1"/>
                <c:pt idx="0">
                  <c:v>Ore mined - Alpha Pit</c:v>
                </c:pt>
              </c:strCache>
            </c:strRef>
          </c:tx>
          <c:spPr>
            <a:solidFill>
              <a:schemeClr val="accent6">
                <a:lumMod val="75000"/>
              </a:schemeClr>
            </a:solidFill>
            <a:ln>
              <a:noFill/>
            </a:ln>
          </c:spPr>
          <c:invertIfNegative val="0"/>
          <c:cat>
            <c:numRef>
              <c:f>'Mid Case'!$D$94:$AD$94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'Mid Case'!$D$117:$AD$117</c:f>
              <c:numCache>
                <c:formatCode>#,##0.0</c:formatCode>
                <c:ptCount val="27"/>
                <c:pt idx="2">
                  <c:v>6</c:v>
                </c:pt>
                <c:pt idx="3">
                  <c:v>8</c:v>
                </c:pt>
                <c:pt idx="4">
                  <c:v>8</c:v>
                </c:pt>
                <c:pt idx="5">
                  <c:v>8</c:v>
                </c:pt>
                <c:pt idx="6">
                  <c:v>8</c:v>
                </c:pt>
                <c:pt idx="7">
                  <c:v>5</c:v>
                </c:pt>
                <c:pt idx="8">
                  <c:v>3</c:v>
                </c:pt>
                <c:pt idx="9">
                  <c:v>3</c:v>
                </c:pt>
                <c:pt idx="10">
                  <c:v>3</c:v>
                </c:pt>
                <c:pt idx="11">
                  <c:v>3</c:v>
                </c:pt>
                <c:pt idx="12">
                  <c:v>3</c:v>
                </c:pt>
              </c:numCache>
            </c:numRef>
          </c:val>
          <c:extLst>
            <c:ext xmlns:c16="http://schemas.microsoft.com/office/drawing/2014/chart" uri="{C3380CC4-5D6E-409C-BE32-E72D297353CC}">
              <c16:uniqueId val="{00000000-E45C-4799-85A6-BA312FAF9633}"/>
            </c:ext>
          </c:extLst>
        </c:ser>
        <c:ser>
          <c:idx val="2"/>
          <c:order val="1"/>
          <c:tx>
            <c:strRef>
              <c:f>'Mid Case'!$A$130</c:f>
              <c:strCache>
                <c:ptCount val="1"/>
                <c:pt idx="0">
                  <c:v>Ore mined - Beta Pit</c:v>
                </c:pt>
              </c:strCache>
            </c:strRef>
          </c:tx>
          <c:spPr>
            <a:solidFill>
              <a:schemeClr val="accent4">
                <a:lumMod val="75000"/>
              </a:schemeClr>
            </a:solidFill>
          </c:spPr>
          <c:invertIfNegative val="0"/>
          <c:val>
            <c:numRef>
              <c:f>'Mid Case'!$D$130:$AD$130</c:f>
              <c:numCache>
                <c:formatCode>#,##0.0</c:formatCode>
                <c:ptCount val="27"/>
                <c:pt idx="7">
                  <c:v>3</c:v>
                </c:pt>
                <c:pt idx="8">
                  <c:v>5</c:v>
                </c:pt>
                <c:pt idx="9">
                  <c:v>5</c:v>
                </c:pt>
                <c:pt idx="10">
                  <c:v>5</c:v>
                </c:pt>
                <c:pt idx="11">
                  <c:v>5</c:v>
                </c:pt>
                <c:pt idx="12">
                  <c:v>5</c:v>
                </c:pt>
                <c:pt idx="13">
                  <c:v>8</c:v>
                </c:pt>
                <c:pt idx="14">
                  <c:v>8</c:v>
                </c:pt>
                <c:pt idx="15">
                  <c:v>8</c:v>
                </c:pt>
                <c:pt idx="16">
                  <c:v>8</c:v>
                </c:pt>
                <c:pt idx="17">
                  <c:v>0</c:v>
                </c:pt>
                <c:pt idx="18">
                  <c:v>0</c:v>
                </c:pt>
                <c:pt idx="19">
                  <c:v>0</c:v>
                </c:pt>
                <c:pt idx="20">
                  <c:v>0</c:v>
                </c:pt>
                <c:pt idx="21">
                  <c:v>0</c:v>
                </c:pt>
              </c:numCache>
            </c:numRef>
          </c:val>
          <c:extLst>
            <c:ext xmlns:c16="http://schemas.microsoft.com/office/drawing/2014/chart" uri="{C3380CC4-5D6E-409C-BE32-E72D297353CC}">
              <c16:uniqueId val="{00000001-E45C-4799-85A6-BA312FAF9633}"/>
            </c:ext>
          </c:extLst>
        </c:ser>
        <c:ser>
          <c:idx val="0"/>
          <c:order val="2"/>
          <c:tx>
            <c:strRef>
              <c:f>'Mid Case'!$A$116</c:f>
              <c:strCache>
                <c:ptCount val="1"/>
                <c:pt idx="0">
                  <c:v>Waste mined - Alpha Pit</c:v>
                </c:pt>
              </c:strCache>
            </c:strRef>
          </c:tx>
          <c:spPr>
            <a:solidFill>
              <a:schemeClr val="accent6">
                <a:lumMod val="40000"/>
                <a:lumOff val="60000"/>
              </a:schemeClr>
            </a:solidFill>
          </c:spPr>
          <c:invertIfNegative val="0"/>
          <c:val>
            <c:numRef>
              <c:f>'Mid Case'!$D$116:$AD$116</c:f>
              <c:numCache>
                <c:formatCode>#,##0</c:formatCode>
                <c:ptCount val="27"/>
                <c:pt idx="1">
                  <c:v>37</c:v>
                </c:pt>
                <c:pt idx="2">
                  <c:v>37</c:v>
                </c:pt>
                <c:pt idx="3">
                  <c:v>35</c:v>
                </c:pt>
                <c:pt idx="4">
                  <c:v>60</c:v>
                </c:pt>
                <c:pt idx="5">
                  <c:v>60</c:v>
                </c:pt>
                <c:pt idx="6">
                  <c:v>48</c:v>
                </c:pt>
                <c:pt idx="7">
                  <c:v>38</c:v>
                </c:pt>
                <c:pt idx="8">
                  <c:v>38</c:v>
                </c:pt>
                <c:pt idx="9">
                  <c:v>38</c:v>
                </c:pt>
                <c:pt idx="10">
                  <c:v>38</c:v>
                </c:pt>
                <c:pt idx="11">
                  <c:v>38</c:v>
                </c:pt>
                <c:pt idx="12">
                  <c:v>25</c:v>
                </c:pt>
              </c:numCache>
            </c:numRef>
          </c:val>
          <c:extLst>
            <c:ext xmlns:c16="http://schemas.microsoft.com/office/drawing/2014/chart" uri="{C3380CC4-5D6E-409C-BE32-E72D297353CC}">
              <c16:uniqueId val="{00000002-E45C-4799-85A6-BA312FAF9633}"/>
            </c:ext>
          </c:extLst>
        </c:ser>
        <c:ser>
          <c:idx val="1"/>
          <c:order val="3"/>
          <c:tx>
            <c:strRef>
              <c:f>'Mid Case'!$A$129</c:f>
              <c:strCache>
                <c:ptCount val="1"/>
                <c:pt idx="0">
                  <c:v>Waste mined - Beta Pit</c:v>
                </c:pt>
              </c:strCache>
            </c:strRef>
          </c:tx>
          <c:spPr>
            <a:solidFill>
              <a:schemeClr val="accent4">
                <a:lumMod val="40000"/>
                <a:lumOff val="60000"/>
              </a:schemeClr>
            </a:solidFill>
          </c:spPr>
          <c:invertIfNegative val="0"/>
          <c:val>
            <c:numRef>
              <c:f>'Mid Case'!$D$129:$AD$129</c:f>
              <c:numCache>
                <c:formatCode>#,##0</c:formatCode>
                <c:ptCount val="27"/>
                <c:pt idx="6">
                  <c:v>42</c:v>
                </c:pt>
                <c:pt idx="7">
                  <c:v>52</c:v>
                </c:pt>
                <c:pt idx="8">
                  <c:v>52</c:v>
                </c:pt>
                <c:pt idx="9">
                  <c:v>52</c:v>
                </c:pt>
                <c:pt idx="10">
                  <c:v>52</c:v>
                </c:pt>
                <c:pt idx="11">
                  <c:v>52</c:v>
                </c:pt>
                <c:pt idx="12">
                  <c:v>65</c:v>
                </c:pt>
                <c:pt idx="13">
                  <c:v>65</c:v>
                </c:pt>
                <c:pt idx="14">
                  <c:v>65</c:v>
                </c:pt>
                <c:pt idx="15">
                  <c:v>50</c:v>
                </c:pt>
              </c:numCache>
            </c:numRef>
          </c:val>
          <c:extLst>
            <c:ext xmlns:c16="http://schemas.microsoft.com/office/drawing/2014/chart" uri="{C3380CC4-5D6E-409C-BE32-E72D297353CC}">
              <c16:uniqueId val="{00000003-E45C-4799-85A6-BA312FAF9633}"/>
            </c:ext>
          </c:extLst>
        </c:ser>
        <c:dLbls>
          <c:showLegendKey val="0"/>
          <c:showVal val="0"/>
          <c:showCatName val="0"/>
          <c:showSerName val="0"/>
          <c:showPercent val="0"/>
          <c:showBubbleSize val="0"/>
        </c:dLbls>
        <c:gapWidth val="0"/>
        <c:overlap val="100"/>
        <c:axId val="371322488"/>
        <c:axId val="371325232"/>
      </c:barChart>
      <c:catAx>
        <c:axId val="371322488"/>
        <c:scaling>
          <c:orientation val="minMax"/>
        </c:scaling>
        <c:delete val="0"/>
        <c:axPos val="b"/>
        <c:numFmt formatCode="0" sourceLinked="1"/>
        <c:majorTickMark val="out"/>
        <c:minorTickMark val="none"/>
        <c:tickLblPos val="nextTo"/>
        <c:txPr>
          <a:bodyPr/>
          <a:lstStyle/>
          <a:p>
            <a:pPr algn="ctr">
              <a:defRPr sz="1000"/>
            </a:pPr>
            <a:endParaRPr lang="en-US"/>
          </a:p>
        </c:txPr>
        <c:crossAx val="371325232"/>
        <c:crosses val="autoZero"/>
        <c:auto val="1"/>
        <c:lblAlgn val="ctr"/>
        <c:lblOffset val="100"/>
        <c:noMultiLvlLbl val="0"/>
      </c:catAx>
      <c:valAx>
        <c:axId val="371325232"/>
        <c:scaling>
          <c:orientation val="minMax"/>
        </c:scaling>
        <c:delete val="0"/>
        <c:axPos val="l"/>
        <c:majorGridlines/>
        <c:title>
          <c:tx>
            <c:rich>
              <a:bodyPr rot="-5400000" vert="horz"/>
              <a:lstStyle/>
              <a:p>
                <a:pPr>
                  <a:defRPr sz="1200" b="1"/>
                </a:pPr>
                <a:r>
                  <a:rPr lang="en-US" sz="1200" b="1"/>
                  <a:t>millions tonnes</a:t>
                </a:r>
              </a:p>
            </c:rich>
          </c:tx>
          <c:layout>
            <c:manualLayout>
              <c:xMode val="edge"/>
              <c:yMode val="edge"/>
              <c:x val="2.6048188613101562E-2"/>
              <c:y val="0.27063836471812597"/>
            </c:manualLayout>
          </c:layout>
          <c:overlay val="0"/>
        </c:title>
        <c:numFmt formatCode="#,##0" sourceLinked="0"/>
        <c:majorTickMark val="out"/>
        <c:minorTickMark val="none"/>
        <c:tickLblPos val="nextTo"/>
        <c:txPr>
          <a:bodyPr/>
          <a:lstStyle/>
          <a:p>
            <a:pPr algn="ctr">
              <a:defRPr lang="en-AU" sz="1000" b="0" i="0" u="none" strike="noStrike" kern="1200" baseline="0">
                <a:solidFill>
                  <a:sysClr val="windowText" lastClr="000000"/>
                </a:solidFill>
                <a:latin typeface="+mn-lt"/>
                <a:ea typeface="+mn-ea"/>
                <a:cs typeface="+mn-cs"/>
              </a:defRPr>
            </a:pPr>
            <a:endParaRPr lang="en-US"/>
          </a:p>
        </c:txPr>
        <c:crossAx val="371322488"/>
        <c:crosses val="autoZero"/>
        <c:crossBetween val="between"/>
      </c:valAx>
    </c:plotArea>
    <c:legend>
      <c:legendPos val="b"/>
      <c:layout>
        <c:manualLayout>
          <c:xMode val="edge"/>
          <c:yMode val="edge"/>
          <c:x val="4.9933951645162192E-2"/>
          <c:y val="0.80466000353447098"/>
          <c:w val="0.95006596545588784"/>
          <c:h val="0.14742461431722531"/>
        </c:manualLayout>
      </c:layout>
      <c:overlay val="0"/>
      <c:txPr>
        <a:bodyPr/>
        <a:lstStyle/>
        <a:p>
          <a:pPr>
            <a:defRPr sz="1000"/>
          </a:pPr>
          <a:endParaRPr lang="en-US"/>
        </a:p>
      </c:txPr>
    </c:legend>
    <c:plotVisOnly val="1"/>
    <c:dispBlanksAs val="gap"/>
    <c:showDLblsOverMax val="0"/>
  </c:chart>
  <c:txPr>
    <a:bodyPr/>
    <a:lstStyle/>
    <a:p>
      <a:pPr algn="ctr">
        <a:defRPr lang="en-AU" sz="1400" b="0" i="0" u="none" strike="noStrike" kern="1200" baseline="0">
          <a:solidFill>
            <a:sysClr val="windowText" lastClr="000000"/>
          </a:solidFill>
          <a:latin typeface="+mn-lt"/>
          <a:ea typeface="+mn-ea"/>
          <a:cs typeface="+mn-cs"/>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Copper: Sales</a:t>
            </a:r>
            <a:r>
              <a:rPr lang="en-US" sz="1600" baseline="0"/>
              <a:t> Volumes</a:t>
            </a:r>
            <a:r>
              <a:rPr lang="en-US" sz="1600"/>
              <a:t> </a:t>
            </a:r>
          </a:p>
        </c:rich>
      </c:tx>
      <c:layout>
        <c:manualLayout>
          <c:xMode val="edge"/>
          <c:yMode val="edge"/>
          <c:x val="0.2952579292074472"/>
          <c:y val="1.1414216447643871E-2"/>
        </c:manualLayout>
      </c:layout>
      <c:overlay val="0"/>
    </c:title>
    <c:autoTitleDeleted val="0"/>
    <c:plotArea>
      <c:layout>
        <c:manualLayout>
          <c:layoutTarget val="inner"/>
          <c:xMode val="edge"/>
          <c:yMode val="edge"/>
          <c:x val="0.15095060625614834"/>
          <c:y val="0.11247633068164936"/>
          <c:w val="0.68647960465527091"/>
          <c:h val="0.51023000769843729"/>
        </c:manualLayout>
      </c:layout>
      <c:barChart>
        <c:barDir val="col"/>
        <c:grouping val="clustered"/>
        <c:varyColors val="0"/>
        <c:ser>
          <c:idx val="2"/>
          <c:order val="0"/>
          <c:tx>
            <c:strRef>
              <c:f>'Mid Case'!$A$170</c:f>
              <c:strCache>
                <c:ptCount val="1"/>
                <c:pt idx="0">
                  <c:v>copper conc - contained copper - mid case</c:v>
                </c:pt>
              </c:strCache>
            </c:strRef>
          </c:tx>
          <c:spPr>
            <a:solidFill>
              <a:srgbClr val="FFC000"/>
            </a:solidFill>
          </c:spPr>
          <c:invertIfNegative val="0"/>
          <c:cat>
            <c:numRef>
              <c:f>'Mid Case'!$D$94:$AD$94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'Mid Case'!$D$170:$AD$170</c:f>
              <c:numCache>
                <c:formatCode>#,##0</c:formatCode>
                <c:ptCount val="27"/>
                <c:pt idx="0">
                  <c:v>0</c:v>
                </c:pt>
                <c:pt idx="1">
                  <c:v>0</c:v>
                </c:pt>
                <c:pt idx="2">
                  <c:v>42.889846153846143</c:v>
                </c:pt>
                <c:pt idx="3">
                  <c:v>67.583999999999989</c:v>
                </c:pt>
                <c:pt idx="4">
                  <c:v>67.583999999999989</c:v>
                </c:pt>
                <c:pt idx="5">
                  <c:v>67.583999999999989</c:v>
                </c:pt>
                <c:pt idx="6">
                  <c:v>70.508307692307682</c:v>
                </c:pt>
                <c:pt idx="7">
                  <c:v>62.95384615384615</c:v>
                </c:pt>
                <c:pt idx="8">
                  <c:v>64.064000000000007</c:v>
                </c:pt>
                <c:pt idx="9">
                  <c:v>64.064000000000007</c:v>
                </c:pt>
                <c:pt idx="10">
                  <c:v>64.064000000000007</c:v>
                </c:pt>
                <c:pt idx="11">
                  <c:v>64.064000000000007</c:v>
                </c:pt>
                <c:pt idx="12">
                  <c:v>64.307692307692292</c:v>
                </c:pt>
                <c:pt idx="13">
                  <c:v>61.951999999999998</c:v>
                </c:pt>
                <c:pt idx="14">
                  <c:v>61.951999999999998</c:v>
                </c:pt>
                <c:pt idx="15">
                  <c:v>61.951999999999998</c:v>
                </c:pt>
                <c:pt idx="16">
                  <c:v>69.100307692307695</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0-3076-4557-89A5-55C721AA1058}"/>
            </c:ext>
          </c:extLst>
        </c:ser>
        <c:dLbls>
          <c:showLegendKey val="0"/>
          <c:showVal val="0"/>
          <c:showCatName val="0"/>
          <c:showSerName val="0"/>
          <c:showPercent val="0"/>
          <c:showBubbleSize val="0"/>
        </c:dLbls>
        <c:gapWidth val="50"/>
        <c:axId val="371321312"/>
        <c:axId val="371320528"/>
      </c:barChart>
      <c:lineChart>
        <c:grouping val="standard"/>
        <c:varyColors val="0"/>
        <c:ser>
          <c:idx val="1"/>
          <c:order val="1"/>
          <c:tx>
            <c:strRef>
              <c:f>'Mid Case'!$A$296</c:f>
              <c:strCache>
                <c:ptCount val="1"/>
                <c:pt idx="0">
                  <c:v>copper concentrate sold</c:v>
                </c:pt>
              </c:strCache>
            </c:strRef>
          </c:tx>
          <c:spPr>
            <a:ln w="88900">
              <a:solidFill>
                <a:srgbClr val="66FF33"/>
              </a:solidFill>
              <a:prstDash val="sysDot"/>
            </a:ln>
          </c:spPr>
          <c:marker>
            <c:symbol val="none"/>
          </c:marker>
          <c:cat>
            <c:numRef>
              <c:f>'Mid Case'!$D$94:$N$94</c:f>
              <c:numCache>
                <c:formatCode>0</c:formatCode>
                <c:ptCount val="11"/>
                <c:pt idx="0">
                  <c:v>2027</c:v>
                </c:pt>
                <c:pt idx="1">
                  <c:v>2028</c:v>
                </c:pt>
                <c:pt idx="2">
                  <c:v>2029</c:v>
                </c:pt>
                <c:pt idx="3">
                  <c:v>2030</c:v>
                </c:pt>
                <c:pt idx="4">
                  <c:v>2031</c:v>
                </c:pt>
                <c:pt idx="5">
                  <c:v>2032</c:v>
                </c:pt>
                <c:pt idx="6">
                  <c:v>2033</c:v>
                </c:pt>
                <c:pt idx="7">
                  <c:v>2034</c:v>
                </c:pt>
                <c:pt idx="8">
                  <c:v>2035</c:v>
                </c:pt>
                <c:pt idx="9">
                  <c:v>2036</c:v>
                </c:pt>
                <c:pt idx="10">
                  <c:v>2037</c:v>
                </c:pt>
              </c:numCache>
            </c:numRef>
          </c:cat>
          <c:val>
            <c:numRef>
              <c:f>'Mid Case'!$D$296:$AD$296</c:f>
              <c:numCache>
                <c:formatCode>#,##0</c:formatCode>
                <c:ptCount val="27"/>
                <c:pt idx="0">
                  <c:v>0</c:v>
                </c:pt>
                <c:pt idx="1">
                  <c:v>0</c:v>
                </c:pt>
                <c:pt idx="2">
                  <c:v>114.40839854934146</c:v>
                </c:pt>
                <c:pt idx="3">
                  <c:v>204.22584462683716</c:v>
                </c:pt>
                <c:pt idx="4">
                  <c:v>218.01290322580644</c:v>
                </c:pt>
                <c:pt idx="5">
                  <c:v>218.01290322580644</c:v>
                </c:pt>
                <c:pt idx="6">
                  <c:v>225.81347585417063</c:v>
                </c:pt>
                <c:pt idx="7">
                  <c:v>207.29467455621301</c:v>
                </c:pt>
                <c:pt idx="8">
                  <c:v>206.03825157472801</c:v>
                </c:pt>
                <c:pt idx="9">
                  <c:v>206.65806451612906</c:v>
                </c:pt>
                <c:pt idx="10">
                  <c:v>206.65806451612906</c:v>
                </c:pt>
                <c:pt idx="11">
                  <c:v>206.65806451612906</c:v>
                </c:pt>
                <c:pt idx="12">
                  <c:v>207.30811223515937</c:v>
                </c:pt>
                <c:pt idx="13">
                  <c:v>201.16037411719793</c:v>
                </c:pt>
                <c:pt idx="14">
                  <c:v>199.84516129032258</c:v>
                </c:pt>
                <c:pt idx="15">
                  <c:v>199.84516129032258</c:v>
                </c:pt>
                <c:pt idx="16">
                  <c:v>257.49280397022335</c:v>
                </c:pt>
                <c:pt idx="17">
                  <c:v>0</c:v>
                </c:pt>
                <c:pt idx="18">
                  <c:v>0</c:v>
                </c:pt>
                <c:pt idx="19">
                  <c:v>0</c:v>
                </c:pt>
                <c:pt idx="20">
                  <c:v>0</c:v>
                </c:pt>
                <c:pt idx="21">
                  <c:v>0</c:v>
                </c:pt>
                <c:pt idx="22">
                  <c:v>0</c:v>
                </c:pt>
                <c:pt idx="23">
                  <c:v>0</c:v>
                </c:pt>
                <c:pt idx="24">
                  <c:v>0</c:v>
                </c:pt>
                <c:pt idx="25">
                  <c:v>0</c:v>
                </c:pt>
                <c:pt idx="26">
                  <c:v>0</c:v>
                </c:pt>
              </c:numCache>
            </c:numRef>
          </c:val>
          <c:smooth val="0"/>
          <c:extLst>
            <c:ext xmlns:c16="http://schemas.microsoft.com/office/drawing/2014/chart" uri="{C3380CC4-5D6E-409C-BE32-E72D297353CC}">
              <c16:uniqueId val="{00000001-3076-4557-89A5-55C721AA1058}"/>
            </c:ext>
          </c:extLst>
        </c:ser>
        <c:dLbls>
          <c:showLegendKey val="0"/>
          <c:showVal val="0"/>
          <c:showCatName val="0"/>
          <c:showSerName val="0"/>
          <c:showPercent val="0"/>
          <c:showBubbleSize val="0"/>
        </c:dLbls>
        <c:marker val="1"/>
        <c:smooth val="0"/>
        <c:axId val="371326408"/>
        <c:axId val="371319352"/>
      </c:lineChart>
      <c:catAx>
        <c:axId val="371321312"/>
        <c:scaling>
          <c:orientation val="minMax"/>
        </c:scaling>
        <c:delete val="0"/>
        <c:axPos val="b"/>
        <c:numFmt formatCode="0" sourceLinked="1"/>
        <c:majorTickMark val="out"/>
        <c:minorTickMark val="none"/>
        <c:tickLblPos val="nextTo"/>
        <c:txPr>
          <a:bodyPr/>
          <a:lstStyle/>
          <a:p>
            <a:pPr>
              <a:defRPr sz="1000"/>
            </a:pPr>
            <a:endParaRPr lang="en-US"/>
          </a:p>
        </c:txPr>
        <c:crossAx val="371320528"/>
        <c:crosses val="autoZero"/>
        <c:auto val="1"/>
        <c:lblAlgn val="ctr"/>
        <c:lblOffset val="100"/>
        <c:noMultiLvlLbl val="0"/>
      </c:catAx>
      <c:valAx>
        <c:axId val="371320528"/>
        <c:scaling>
          <c:orientation val="minMax"/>
        </c:scaling>
        <c:delete val="0"/>
        <c:axPos val="l"/>
        <c:majorGridlines/>
        <c:title>
          <c:tx>
            <c:rich>
              <a:bodyPr rot="-5400000" vert="horz"/>
              <a:lstStyle/>
              <a:p>
                <a:pPr>
                  <a:defRPr sz="1200">
                    <a:solidFill>
                      <a:srgbClr val="FFC000"/>
                    </a:solidFill>
                  </a:defRPr>
                </a:pPr>
                <a:r>
                  <a:rPr lang="en-US" sz="1200">
                    <a:solidFill>
                      <a:srgbClr val="FFC000"/>
                    </a:solidFill>
                  </a:rPr>
                  <a:t>Copper Tonnes  - 000s</a:t>
                </a:r>
              </a:p>
            </c:rich>
          </c:tx>
          <c:layout>
            <c:manualLayout>
              <c:xMode val="edge"/>
              <c:yMode val="edge"/>
              <c:x val="1.2593641916255794E-2"/>
              <c:y val="0.13085992895827986"/>
            </c:manualLayout>
          </c:layout>
          <c:overlay val="0"/>
        </c:title>
        <c:numFmt formatCode="#,##0" sourceLinked="1"/>
        <c:majorTickMark val="out"/>
        <c:minorTickMark val="none"/>
        <c:tickLblPos val="nextTo"/>
        <c:txPr>
          <a:bodyPr/>
          <a:lstStyle/>
          <a:p>
            <a:pPr>
              <a:defRPr sz="1000" b="1" baseline="0">
                <a:solidFill>
                  <a:srgbClr val="FFC000"/>
                </a:solidFill>
              </a:defRPr>
            </a:pPr>
            <a:endParaRPr lang="en-US"/>
          </a:p>
        </c:txPr>
        <c:crossAx val="371321312"/>
        <c:crosses val="autoZero"/>
        <c:crossBetween val="between"/>
      </c:valAx>
      <c:catAx>
        <c:axId val="371326408"/>
        <c:scaling>
          <c:orientation val="minMax"/>
        </c:scaling>
        <c:delete val="1"/>
        <c:axPos val="b"/>
        <c:numFmt formatCode="0" sourceLinked="1"/>
        <c:majorTickMark val="out"/>
        <c:minorTickMark val="none"/>
        <c:tickLblPos val="none"/>
        <c:crossAx val="371319352"/>
        <c:crosses val="autoZero"/>
        <c:auto val="1"/>
        <c:lblAlgn val="ctr"/>
        <c:lblOffset val="100"/>
        <c:noMultiLvlLbl val="0"/>
      </c:catAx>
      <c:valAx>
        <c:axId val="371319352"/>
        <c:scaling>
          <c:orientation val="minMax"/>
        </c:scaling>
        <c:delete val="0"/>
        <c:axPos val="r"/>
        <c:title>
          <c:tx>
            <c:rich>
              <a:bodyPr rot="-5400000" vert="horz"/>
              <a:lstStyle/>
              <a:p>
                <a:pPr>
                  <a:defRPr sz="1200">
                    <a:solidFill>
                      <a:srgbClr val="37E600"/>
                    </a:solidFill>
                  </a:defRPr>
                </a:pPr>
                <a:r>
                  <a:rPr lang="en-US" sz="1200">
                    <a:solidFill>
                      <a:srgbClr val="37E600"/>
                    </a:solidFill>
                  </a:rPr>
                  <a:t>Concentrate dry tonnes 000's</a:t>
                </a:r>
              </a:p>
            </c:rich>
          </c:tx>
          <c:layout>
            <c:manualLayout>
              <c:xMode val="edge"/>
              <c:yMode val="edge"/>
              <c:x val="0.9256308411214953"/>
              <c:y val="7.5998703421077507E-2"/>
            </c:manualLayout>
          </c:layout>
          <c:overlay val="0"/>
        </c:title>
        <c:numFmt formatCode="#,##0" sourceLinked="1"/>
        <c:majorTickMark val="out"/>
        <c:minorTickMark val="none"/>
        <c:tickLblPos val="nextTo"/>
        <c:txPr>
          <a:bodyPr/>
          <a:lstStyle/>
          <a:p>
            <a:pPr>
              <a:defRPr sz="1000" b="1" baseline="0">
                <a:solidFill>
                  <a:srgbClr val="37E600"/>
                </a:solidFill>
              </a:defRPr>
            </a:pPr>
            <a:endParaRPr lang="en-US"/>
          </a:p>
        </c:txPr>
        <c:crossAx val="371326408"/>
        <c:crosses val="max"/>
        <c:crossBetween val="between"/>
      </c:valAx>
    </c:plotArea>
    <c:legend>
      <c:legendPos val="b"/>
      <c:layout>
        <c:manualLayout>
          <c:xMode val="edge"/>
          <c:yMode val="edge"/>
          <c:x val="0.11852467856828959"/>
          <c:y val="0.78423864507808805"/>
          <c:w val="0.78334443299727718"/>
          <c:h val="0.20082675934222782"/>
        </c:manualLayout>
      </c:layout>
      <c:overlay val="0"/>
      <c:txPr>
        <a:bodyPr/>
        <a:lstStyle/>
        <a:p>
          <a:pPr>
            <a:defRPr sz="1000" b="1"/>
          </a:pPr>
          <a:endParaRPr lang="en-US"/>
        </a:p>
      </c:txPr>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NPV </a:t>
            </a:r>
            <a:r>
              <a:rPr lang="en-US" sz="1600" b="0"/>
              <a:t>- mid case </a:t>
            </a:r>
          </a:p>
        </c:rich>
      </c:tx>
      <c:layout>
        <c:manualLayout>
          <c:xMode val="edge"/>
          <c:yMode val="edge"/>
          <c:x val="0.20321711539759788"/>
          <c:y val="5.9893469656568665E-2"/>
        </c:manualLayout>
      </c:layout>
      <c:overlay val="0"/>
    </c:title>
    <c:autoTitleDeleted val="0"/>
    <c:plotArea>
      <c:layout>
        <c:manualLayout>
          <c:layoutTarget val="inner"/>
          <c:xMode val="edge"/>
          <c:yMode val="edge"/>
          <c:x val="0.14939346143696183"/>
          <c:y val="5.9910251180138693E-2"/>
          <c:w val="0.82336551267023017"/>
          <c:h val="0.77129046731755313"/>
        </c:manualLayout>
      </c:layout>
      <c:barChart>
        <c:barDir val="col"/>
        <c:grouping val="stacked"/>
        <c:varyColors val="0"/>
        <c:ser>
          <c:idx val="0"/>
          <c:order val="0"/>
          <c:tx>
            <c:strRef>
              <c:f>'Mid Case'!$A$757</c:f>
              <c:strCache>
                <c:ptCount val="1"/>
                <c:pt idx="0">
                  <c:v>Discounted Cashflow</c:v>
                </c:pt>
              </c:strCache>
            </c:strRef>
          </c:tx>
          <c:spPr>
            <a:solidFill>
              <a:schemeClr val="accent3">
                <a:lumMod val="60000"/>
                <a:lumOff val="40000"/>
              </a:schemeClr>
            </a:solidFill>
            <a:ln>
              <a:noFill/>
            </a:ln>
          </c:spPr>
          <c:invertIfNegative val="0"/>
          <c:cat>
            <c:numRef>
              <c:f>'Expected NPV &amp; Common Data'!$D$36:$AD$36</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'Mid Case'!$D$757:$AD$757</c:f>
              <c:numCache>
                <c:formatCode>#,##0_);[Red]\(#,##0\)</c:formatCode>
                <c:ptCount val="27"/>
                <c:pt idx="0">
                  <c:v>-268.19844504755417</c:v>
                </c:pt>
                <c:pt idx="1">
                  <c:v>-548.38029387681593</c:v>
                </c:pt>
                <c:pt idx="2">
                  <c:v>-2.1717966000989053</c:v>
                </c:pt>
                <c:pt idx="3">
                  <c:v>245.06556134502003</c:v>
                </c:pt>
                <c:pt idx="4">
                  <c:v>192.13542941135108</c:v>
                </c:pt>
                <c:pt idx="5">
                  <c:v>149.84104605594948</c:v>
                </c:pt>
                <c:pt idx="6">
                  <c:v>126.95041934368953</c:v>
                </c:pt>
                <c:pt idx="7">
                  <c:v>87.830769936234361</c:v>
                </c:pt>
                <c:pt idx="8">
                  <c:v>53.376583532626491</c:v>
                </c:pt>
                <c:pt idx="9">
                  <c:v>36.028267416721228</c:v>
                </c:pt>
                <c:pt idx="10">
                  <c:v>37.229130971615</c:v>
                </c:pt>
                <c:pt idx="11">
                  <c:v>33.165384650455096</c:v>
                </c:pt>
                <c:pt idx="12">
                  <c:v>40.559939110394815</c:v>
                </c:pt>
                <c:pt idx="13">
                  <c:v>35.381292553297612</c:v>
                </c:pt>
                <c:pt idx="14">
                  <c:v>31.43475627627528</c:v>
                </c:pt>
                <c:pt idx="15">
                  <c:v>38.147160808586726</c:v>
                </c:pt>
                <c:pt idx="16">
                  <c:v>72.041224407299055</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0-E308-444F-964C-F9DC3A732B91}"/>
            </c:ext>
          </c:extLst>
        </c:ser>
        <c:dLbls>
          <c:showLegendKey val="0"/>
          <c:showVal val="0"/>
          <c:showCatName val="0"/>
          <c:showSerName val="0"/>
          <c:showPercent val="0"/>
          <c:showBubbleSize val="0"/>
        </c:dLbls>
        <c:gapWidth val="0"/>
        <c:overlap val="100"/>
        <c:axId val="371322096"/>
        <c:axId val="371323272"/>
      </c:barChart>
      <c:lineChart>
        <c:grouping val="standard"/>
        <c:varyColors val="0"/>
        <c:ser>
          <c:idx val="1"/>
          <c:order val="1"/>
          <c:tx>
            <c:strRef>
              <c:f>'Mid Case'!$A$758</c:f>
              <c:strCache>
                <c:ptCount val="1"/>
                <c:pt idx="0">
                  <c:v>Cumulative NPV</c:v>
                </c:pt>
              </c:strCache>
            </c:strRef>
          </c:tx>
          <c:spPr>
            <a:ln w="28575">
              <a:solidFill>
                <a:schemeClr val="accent3">
                  <a:lumMod val="75000"/>
                </a:schemeClr>
              </a:solidFill>
            </a:ln>
          </c:spPr>
          <c:marker>
            <c:symbol val="none"/>
          </c:marker>
          <c:cat>
            <c:numRef>
              <c:f>'Expected NPV &amp; Common Data'!$D$36:$AD$36</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'Mid Case'!$D$758:$AD$758</c:f>
              <c:numCache>
                <c:formatCode>#,##0_);[Red]\(#,##0\)</c:formatCode>
                <c:ptCount val="27"/>
                <c:pt idx="0">
                  <c:v>-268.19844504755417</c:v>
                </c:pt>
                <c:pt idx="1">
                  <c:v>-816.5787389243701</c:v>
                </c:pt>
                <c:pt idx="2">
                  <c:v>-818.750535524469</c:v>
                </c:pt>
                <c:pt idx="3">
                  <c:v>-573.684974179449</c:v>
                </c:pt>
                <c:pt idx="4">
                  <c:v>-381.54954476809792</c:v>
                </c:pt>
                <c:pt idx="5">
                  <c:v>-231.70849871214844</c:v>
                </c:pt>
                <c:pt idx="6">
                  <c:v>-104.75807936845891</c:v>
                </c:pt>
                <c:pt idx="7">
                  <c:v>-16.927309432224547</c:v>
                </c:pt>
                <c:pt idx="8">
                  <c:v>36.449274100401944</c:v>
                </c:pt>
                <c:pt idx="9">
                  <c:v>72.477541517123171</c:v>
                </c:pt>
                <c:pt idx="10">
                  <c:v>109.70667248873818</c:v>
                </c:pt>
                <c:pt idx="11">
                  <c:v>142.87205713919326</c:v>
                </c:pt>
                <c:pt idx="12">
                  <c:v>183.43199624958808</c:v>
                </c:pt>
                <c:pt idx="13">
                  <c:v>218.81328880288569</c:v>
                </c:pt>
                <c:pt idx="14">
                  <c:v>250.24804507916099</c:v>
                </c:pt>
                <c:pt idx="15">
                  <c:v>288.39520588774769</c:v>
                </c:pt>
                <c:pt idx="16">
                  <c:v>360.43643029504676</c:v>
                </c:pt>
                <c:pt idx="17">
                  <c:v>360.43643029504676</c:v>
                </c:pt>
                <c:pt idx="18">
                  <c:v>360.43643029504676</c:v>
                </c:pt>
                <c:pt idx="19">
                  <c:v>360.43643029504676</c:v>
                </c:pt>
                <c:pt idx="20">
                  <c:v>360.43643029504676</c:v>
                </c:pt>
                <c:pt idx="21">
                  <c:v>360.43643029504676</c:v>
                </c:pt>
                <c:pt idx="22">
                  <c:v>360.43643029504676</c:v>
                </c:pt>
                <c:pt idx="23">
                  <c:v>360.43643029504676</c:v>
                </c:pt>
                <c:pt idx="24">
                  <c:v>360.43643029504676</c:v>
                </c:pt>
                <c:pt idx="25">
                  <c:v>360.43643029504676</c:v>
                </c:pt>
                <c:pt idx="26">
                  <c:v>360.43643029504676</c:v>
                </c:pt>
              </c:numCache>
            </c:numRef>
          </c:val>
          <c:smooth val="0"/>
          <c:extLst>
            <c:ext xmlns:c16="http://schemas.microsoft.com/office/drawing/2014/chart" uri="{C3380CC4-5D6E-409C-BE32-E72D297353CC}">
              <c16:uniqueId val="{00000001-E308-444F-964C-F9DC3A732B91}"/>
            </c:ext>
          </c:extLst>
        </c:ser>
        <c:dLbls>
          <c:showLegendKey val="0"/>
          <c:showVal val="0"/>
          <c:showCatName val="0"/>
          <c:showSerName val="0"/>
          <c:showPercent val="0"/>
          <c:showBubbleSize val="0"/>
        </c:dLbls>
        <c:marker val="1"/>
        <c:smooth val="0"/>
        <c:axId val="371322096"/>
        <c:axId val="371323272"/>
      </c:lineChart>
      <c:catAx>
        <c:axId val="371322096"/>
        <c:scaling>
          <c:orientation val="minMax"/>
        </c:scaling>
        <c:delete val="0"/>
        <c:axPos val="b"/>
        <c:numFmt formatCode="0" sourceLinked="1"/>
        <c:majorTickMark val="out"/>
        <c:minorTickMark val="none"/>
        <c:tickLblPos val="nextTo"/>
        <c:txPr>
          <a:bodyPr/>
          <a:lstStyle/>
          <a:p>
            <a:pPr>
              <a:defRPr sz="1050" b="0"/>
            </a:pPr>
            <a:endParaRPr lang="en-US"/>
          </a:p>
        </c:txPr>
        <c:crossAx val="371323272"/>
        <c:crosses val="autoZero"/>
        <c:auto val="1"/>
        <c:lblAlgn val="ctr"/>
        <c:lblOffset val="100"/>
        <c:noMultiLvlLbl val="0"/>
      </c:catAx>
      <c:valAx>
        <c:axId val="371323272"/>
        <c:scaling>
          <c:orientation val="minMax"/>
        </c:scaling>
        <c:delete val="0"/>
        <c:axPos val="l"/>
        <c:majorGridlines/>
        <c:title>
          <c:tx>
            <c:rich>
              <a:bodyPr rot="-5400000" vert="horz"/>
              <a:lstStyle/>
              <a:p>
                <a:pPr>
                  <a:defRPr sz="1200" b="0">
                    <a:solidFill>
                      <a:srgbClr val="00B050"/>
                    </a:solidFill>
                  </a:defRPr>
                </a:pPr>
                <a:r>
                  <a:rPr lang="en-US" sz="1200" b="0">
                    <a:solidFill>
                      <a:srgbClr val="00B050"/>
                    </a:solidFill>
                  </a:rPr>
                  <a:t>US$ Millions Real</a:t>
                </a:r>
              </a:p>
            </c:rich>
          </c:tx>
          <c:layout>
            <c:manualLayout>
              <c:xMode val="edge"/>
              <c:yMode val="edge"/>
              <c:x val="1.6170768392842341E-2"/>
              <c:y val="0.20678074458569781"/>
            </c:manualLayout>
          </c:layout>
          <c:overlay val="0"/>
        </c:title>
        <c:numFmt formatCode="#,##0" sourceLinked="0"/>
        <c:majorTickMark val="out"/>
        <c:minorTickMark val="none"/>
        <c:tickLblPos val="nextTo"/>
        <c:txPr>
          <a:bodyPr/>
          <a:lstStyle/>
          <a:p>
            <a:pPr>
              <a:defRPr sz="1000" b="0">
                <a:solidFill>
                  <a:srgbClr val="00B050"/>
                </a:solidFill>
              </a:defRPr>
            </a:pPr>
            <a:endParaRPr lang="en-US"/>
          </a:p>
        </c:txPr>
        <c:crossAx val="371322096"/>
        <c:crosses val="autoZero"/>
        <c:crossBetween val="between"/>
      </c:valAx>
    </c:plotArea>
    <c:legend>
      <c:legendPos val="b"/>
      <c:layout>
        <c:manualLayout>
          <c:xMode val="edge"/>
          <c:yMode val="edge"/>
          <c:x val="2.3239789831465876E-2"/>
          <c:y val="0.84490116207303967"/>
          <c:w val="0.94215320487536447"/>
          <c:h val="0.13278021713190738"/>
        </c:manualLayout>
      </c:layout>
      <c:overlay val="0"/>
      <c:txPr>
        <a:bodyPr/>
        <a:lstStyle/>
        <a:p>
          <a:pPr>
            <a:defRPr sz="1000" b="0"/>
          </a:pPr>
          <a:endParaRPr lang="en-US"/>
        </a:p>
      </c:txPr>
    </c:legend>
    <c:plotVisOnly val="1"/>
    <c:dispBlanksAs val="gap"/>
    <c:showDLblsOverMax val="0"/>
  </c:chart>
  <c:txPr>
    <a:bodyPr/>
    <a:lstStyle/>
    <a:p>
      <a:pPr algn="ctr">
        <a:defRPr lang="en-AU" sz="1600" b="1" i="0" u="none" strike="noStrike" kern="1200" baseline="0">
          <a:solidFill>
            <a:sysClr val="windowText" lastClr="000000"/>
          </a:solidFill>
          <a:latin typeface="+mn-lt"/>
          <a:ea typeface="+mn-ea"/>
          <a:cs typeface="+mn-cs"/>
        </a:defRPr>
      </a:pPr>
      <a:endParaRPr lang="en-US"/>
    </a:p>
  </c:txPr>
  <c:printSettings>
    <c:headerFooter/>
    <c:pageMargins b="0.75000000000000056" l="0.70000000000000051" r="0.70000000000000051" t="0.75000000000000056" header="0.30000000000000027" footer="0.30000000000000027"/>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Opex</a:t>
            </a:r>
          </a:p>
        </c:rich>
      </c:tx>
      <c:layout>
        <c:manualLayout>
          <c:xMode val="edge"/>
          <c:yMode val="edge"/>
          <c:x val="0.41695289335715829"/>
          <c:y val="9.1478645025461073E-4"/>
        </c:manualLayout>
      </c:layout>
      <c:overlay val="1"/>
    </c:title>
    <c:autoTitleDeleted val="0"/>
    <c:plotArea>
      <c:layout>
        <c:manualLayout>
          <c:layoutTarget val="inner"/>
          <c:xMode val="edge"/>
          <c:yMode val="edge"/>
          <c:x val="0.17442142674809041"/>
          <c:y val="5.6719143724125447E-2"/>
          <c:w val="0.79470752253225208"/>
          <c:h val="0.56860563153861865"/>
        </c:manualLayout>
      </c:layout>
      <c:barChart>
        <c:barDir val="col"/>
        <c:grouping val="stacked"/>
        <c:varyColors val="0"/>
        <c:ser>
          <c:idx val="3"/>
          <c:order val="0"/>
          <c:tx>
            <c:strRef>
              <c:f>'Mid Case'!$A$574</c:f>
              <c:strCache>
                <c:ptCount val="1"/>
                <c:pt idx="0">
                  <c:v>General &amp; Administration</c:v>
                </c:pt>
              </c:strCache>
            </c:strRef>
          </c:tx>
          <c:spPr>
            <a:solidFill>
              <a:srgbClr val="CC9900"/>
            </a:solidFill>
          </c:spPr>
          <c:invertIfNegative val="0"/>
          <c:cat>
            <c:numRef>
              <c:f>'Mid Case'!$D$94:$AD$94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'Mid Case'!$D$574:$AD$574</c:f>
              <c:numCache>
                <c:formatCode>#,##0</c:formatCode>
                <c:ptCount val="27"/>
                <c:pt idx="0">
                  <c:v>0</c:v>
                </c:pt>
                <c:pt idx="1">
                  <c:v>0</c:v>
                </c:pt>
                <c:pt idx="2">
                  <c:v>37.234000000000009</c:v>
                </c:pt>
                <c:pt idx="3">
                  <c:v>37.234000000000009</c:v>
                </c:pt>
                <c:pt idx="4">
                  <c:v>37.234000000000009</c:v>
                </c:pt>
                <c:pt idx="5">
                  <c:v>37.234000000000009</c:v>
                </c:pt>
                <c:pt idx="6">
                  <c:v>37.234000000000009</c:v>
                </c:pt>
                <c:pt idx="7">
                  <c:v>37.234000000000009</c:v>
                </c:pt>
                <c:pt idx="8">
                  <c:v>37.234000000000009</c:v>
                </c:pt>
                <c:pt idx="9">
                  <c:v>37.234000000000009</c:v>
                </c:pt>
                <c:pt idx="10">
                  <c:v>37.234000000000009</c:v>
                </c:pt>
                <c:pt idx="11">
                  <c:v>37.234000000000009</c:v>
                </c:pt>
                <c:pt idx="12">
                  <c:v>37.234000000000009</c:v>
                </c:pt>
                <c:pt idx="13">
                  <c:v>37.234000000000009</c:v>
                </c:pt>
                <c:pt idx="14">
                  <c:v>37.234000000000009</c:v>
                </c:pt>
                <c:pt idx="15">
                  <c:v>37.234000000000009</c:v>
                </c:pt>
                <c:pt idx="16">
                  <c:v>37.234000000000009</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0-EE75-4FA8-B5D3-FCAC163E2390}"/>
            </c:ext>
          </c:extLst>
        </c:ser>
        <c:ser>
          <c:idx val="4"/>
          <c:order val="1"/>
          <c:tx>
            <c:strRef>
              <c:f>'Mid Case'!$A$640</c:f>
              <c:strCache>
                <c:ptCount val="1"/>
                <c:pt idx="0">
                  <c:v>Product Logistics - copper &amp; moly</c:v>
                </c:pt>
              </c:strCache>
            </c:strRef>
          </c:tx>
          <c:spPr>
            <a:solidFill>
              <a:schemeClr val="accent6">
                <a:lumMod val="50000"/>
              </a:schemeClr>
            </a:solidFill>
          </c:spPr>
          <c:invertIfNegative val="0"/>
          <c:cat>
            <c:numRef>
              <c:f>'Mid Case'!$D$94:$AD$94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'Mid Case'!$D$640:$AD$640</c:f>
              <c:numCache>
                <c:formatCode>#,##0.0</c:formatCode>
                <c:ptCount val="27"/>
                <c:pt idx="0">
                  <c:v>0</c:v>
                </c:pt>
                <c:pt idx="1">
                  <c:v>0</c:v>
                </c:pt>
                <c:pt idx="2">
                  <c:v>6.7191622828784103</c:v>
                </c:pt>
                <c:pt idx="3">
                  <c:v>12.106042769716632</c:v>
                </c:pt>
                <c:pt idx="4">
                  <c:v>13.03071389872923</c:v>
                </c:pt>
                <c:pt idx="5">
                  <c:v>13.126904283073312</c:v>
                </c:pt>
                <c:pt idx="6">
                  <c:v>13.695828470010417</c:v>
                </c:pt>
                <c:pt idx="7">
                  <c:v>12.550847128718924</c:v>
                </c:pt>
                <c:pt idx="8">
                  <c:v>12.397226588185079</c:v>
                </c:pt>
                <c:pt idx="9">
                  <c:v>12.489017625002909</c:v>
                </c:pt>
                <c:pt idx="10">
                  <c:v>12.581684627580735</c:v>
                </c:pt>
                <c:pt idx="11">
                  <c:v>12.675278300184337</c:v>
                </c:pt>
                <c:pt idx="12">
                  <c:v>12.885797405166786</c:v>
                </c:pt>
                <c:pt idx="13">
                  <c:v>12.305783643842542</c:v>
                </c:pt>
                <c:pt idx="14">
                  <c:v>12.316493064573038</c:v>
                </c:pt>
                <c:pt idx="15">
                  <c:v>12.408570970129162</c:v>
                </c:pt>
                <c:pt idx="16">
                  <c:v>16.107791670531476</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1-EE75-4FA8-B5D3-FCAC163E2390}"/>
            </c:ext>
          </c:extLst>
        </c:ser>
        <c:ser>
          <c:idx val="2"/>
          <c:order val="2"/>
          <c:tx>
            <c:strRef>
              <c:f>'Mid Case'!$A$509</c:f>
              <c:strCache>
                <c:ptCount val="1"/>
                <c:pt idx="0">
                  <c:v>processing opex</c:v>
                </c:pt>
              </c:strCache>
            </c:strRef>
          </c:tx>
          <c:spPr>
            <a:solidFill>
              <a:srgbClr val="FFCC66"/>
            </a:solidFill>
          </c:spPr>
          <c:invertIfNegative val="0"/>
          <c:cat>
            <c:numRef>
              <c:f>'Mid Case'!$D$94:$AD$94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'Mid Case'!$D$509:$AD$509</c:f>
              <c:numCache>
                <c:formatCode>#,##0</c:formatCode>
                <c:ptCount val="27"/>
                <c:pt idx="0">
                  <c:v>0</c:v>
                </c:pt>
                <c:pt idx="1">
                  <c:v>0</c:v>
                </c:pt>
                <c:pt idx="2">
                  <c:v>135.13153846153847</c:v>
                </c:pt>
                <c:pt idx="3">
                  <c:v>185.73000000000002</c:v>
                </c:pt>
                <c:pt idx="4">
                  <c:v>185.73000000000002</c:v>
                </c:pt>
                <c:pt idx="5">
                  <c:v>185.73000000000002</c:v>
                </c:pt>
                <c:pt idx="6">
                  <c:v>191.7219230769231</c:v>
                </c:pt>
                <c:pt idx="7">
                  <c:v>179.73807692307693</c:v>
                </c:pt>
                <c:pt idx="8">
                  <c:v>185.73000000000002</c:v>
                </c:pt>
                <c:pt idx="9">
                  <c:v>185.73000000000002</c:v>
                </c:pt>
                <c:pt idx="10">
                  <c:v>185.73000000000002</c:v>
                </c:pt>
                <c:pt idx="11">
                  <c:v>185.73000000000002</c:v>
                </c:pt>
                <c:pt idx="12">
                  <c:v>185.73000000000002</c:v>
                </c:pt>
                <c:pt idx="13">
                  <c:v>185.73000000000002</c:v>
                </c:pt>
                <c:pt idx="14">
                  <c:v>185.73000000000002</c:v>
                </c:pt>
                <c:pt idx="15">
                  <c:v>185.73000000000002</c:v>
                </c:pt>
                <c:pt idx="16">
                  <c:v>201.70846153846156</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2-EE75-4FA8-B5D3-FCAC163E2390}"/>
            </c:ext>
          </c:extLst>
        </c:ser>
        <c:ser>
          <c:idx val="0"/>
          <c:order val="3"/>
          <c:tx>
            <c:strRef>
              <c:f>'Mid Case'!$A$460</c:f>
              <c:strCache>
                <c:ptCount val="1"/>
                <c:pt idx="0">
                  <c:v>mining opex</c:v>
                </c:pt>
              </c:strCache>
            </c:strRef>
          </c:tx>
          <c:spPr>
            <a:solidFill>
              <a:srgbClr val="FFFF00"/>
            </a:solidFill>
            <a:ln>
              <a:noFill/>
            </a:ln>
          </c:spPr>
          <c:invertIfNegative val="0"/>
          <c:cat>
            <c:numRef>
              <c:f>'Mid Case'!$D$94:$AD$94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'Mid Case'!$D$460:$AD$460</c:f>
              <c:numCache>
                <c:formatCode>#,##0</c:formatCode>
                <c:ptCount val="27"/>
                <c:pt idx="0">
                  <c:v>0</c:v>
                </c:pt>
                <c:pt idx="1">
                  <c:v>197</c:v>
                </c:pt>
                <c:pt idx="2">
                  <c:v>234.85</c:v>
                </c:pt>
                <c:pt idx="3">
                  <c:v>238.9</c:v>
                </c:pt>
                <c:pt idx="4">
                  <c:v>369.79999999999995</c:v>
                </c:pt>
                <c:pt idx="5">
                  <c:v>373.19999999999993</c:v>
                </c:pt>
                <c:pt idx="6">
                  <c:v>456.39999999999986</c:v>
                </c:pt>
                <c:pt idx="7">
                  <c:v>434.99999999999989</c:v>
                </c:pt>
                <c:pt idx="8">
                  <c:v>434.69999999999993</c:v>
                </c:pt>
                <c:pt idx="9">
                  <c:v>439.59999999999991</c:v>
                </c:pt>
                <c:pt idx="10">
                  <c:v>444.49999999999989</c:v>
                </c:pt>
                <c:pt idx="11">
                  <c:v>449.39999999999986</c:v>
                </c:pt>
                <c:pt idx="12">
                  <c:v>428.99999999999983</c:v>
                </c:pt>
                <c:pt idx="13">
                  <c:v>287.34999999999991</c:v>
                </c:pt>
                <c:pt idx="14">
                  <c:v>290.99999999999989</c:v>
                </c:pt>
                <c:pt idx="15">
                  <c:v>236.89999999999992</c:v>
                </c:pt>
                <c:pt idx="16">
                  <c:v>44.79999999999999</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3-EE75-4FA8-B5D3-FCAC163E2390}"/>
            </c:ext>
          </c:extLst>
        </c:ser>
        <c:ser>
          <c:idx val="6"/>
          <c:order val="4"/>
          <c:tx>
            <c:strRef>
              <c:f>'Mid Case'!$A$603</c:f>
              <c:strCache>
                <c:ptCount val="1"/>
                <c:pt idx="0">
                  <c:v>Exploration &amp; Geotechnical</c:v>
                </c:pt>
              </c:strCache>
            </c:strRef>
          </c:tx>
          <c:invertIfNegative val="0"/>
          <c:cat>
            <c:numRef>
              <c:f>'Mid Case'!$D$94:$AD$94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'Mid Case'!$D$603:$AD$603</c:f>
              <c:numCache>
                <c:formatCode>#,##0.0</c:formatCode>
                <c:ptCount val="27"/>
                <c:pt idx="0">
                  <c:v>3.8</c:v>
                </c:pt>
                <c:pt idx="1">
                  <c:v>3.8</c:v>
                </c:pt>
                <c:pt idx="2">
                  <c:v>3.8</c:v>
                </c:pt>
                <c:pt idx="3">
                  <c:v>3.8</c:v>
                </c:pt>
                <c:pt idx="4">
                  <c:v>3.8</c:v>
                </c:pt>
                <c:pt idx="5">
                  <c:v>3.8</c:v>
                </c:pt>
                <c:pt idx="6">
                  <c:v>3.8</c:v>
                </c:pt>
                <c:pt idx="7">
                  <c:v>3.8</c:v>
                </c:pt>
                <c:pt idx="8">
                  <c:v>3.8</c:v>
                </c:pt>
                <c:pt idx="9">
                  <c:v>3.8</c:v>
                </c:pt>
                <c:pt idx="10">
                  <c:v>3.8</c:v>
                </c:pt>
                <c:pt idx="11">
                  <c:v>3.8</c:v>
                </c:pt>
                <c:pt idx="12">
                  <c:v>3.8</c:v>
                </c:pt>
                <c:pt idx="13">
                  <c:v>3.8</c:v>
                </c:pt>
                <c:pt idx="14">
                  <c:v>3.8</c:v>
                </c:pt>
                <c:pt idx="15">
                  <c:v>0</c:v>
                </c:pt>
                <c:pt idx="16">
                  <c:v>0</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4-EE75-4FA8-B5D3-FCAC163E2390}"/>
            </c:ext>
          </c:extLst>
        </c:ser>
        <c:ser>
          <c:idx val="1"/>
          <c:order val="5"/>
          <c:tx>
            <c:strRef>
              <c:f>'Mid Case'!$A$593</c:f>
              <c:strCache>
                <c:ptCount val="1"/>
                <c:pt idx="0">
                  <c:v>Rehabilitation &amp; Environmental and Closure</c:v>
                </c:pt>
              </c:strCache>
            </c:strRef>
          </c:tx>
          <c:spPr>
            <a:solidFill>
              <a:schemeClr val="accent3">
                <a:lumMod val="40000"/>
                <a:lumOff val="60000"/>
              </a:schemeClr>
            </a:solidFill>
          </c:spPr>
          <c:invertIfNegative val="0"/>
          <c:cat>
            <c:numRef>
              <c:f>'Mid Case'!$D$94:$AD$94</c:f>
              <c:numCache>
                <c:formatCode>0</c:formatCode>
                <c:ptCount val="27"/>
                <c:pt idx="0">
                  <c:v>2027</c:v>
                </c:pt>
                <c:pt idx="1">
                  <c:v>2028</c:v>
                </c:pt>
                <c:pt idx="2">
                  <c:v>2029</c:v>
                </c:pt>
                <c:pt idx="3">
                  <c:v>2030</c:v>
                </c:pt>
                <c:pt idx="4">
                  <c:v>2031</c:v>
                </c:pt>
                <c:pt idx="5">
                  <c:v>2032</c:v>
                </c:pt>
                <c:pt idx="6">
                  <c:v>2033</c:v>
                </c:pt>
                <c:pt idx="7">
                  <c:v>2034</c:v>
                </c:pt>
                <c:pt idx="8">
                  <c:v>2035</c:v>
                </c:pt>
                <c:pt idx="9">
                  <c:v>2036</c:v>
                </c:pt>
                <c:pt idx="10">
                  <c:v>2037</c:v>
                </c:pt>
                <c:pt idx="11">
                  <c:v>2038</c:v>
                </c:pt>
                <c:pt idx="12">
                  <c:v>2039</c:v>
                </c:pt>
                <c:pt idx="13">
                  <c:v>2040</c:v>
                </c:pt>
                <c:pt idx="14">
                  <c:v>2041</c:v>
                </c:pt>
                <c:pt idx="15">
                  <c:v>2042</c:v>
                </c:pt>
                <c:pt idx="16">
                  <c:v>2043</c:v>
                </c:pt>
                <c:pt idx="17">
                  <c:v>2044</c:v>
                </c:pt>
                <c:pt idx="18">
                  <c:v>2045</c:v>
                </c:pt>
                <c:pt idx="19">
                  <c:v>2046</c:v>
                </c:pt>
                <c:pt idx="20">
                  <c:v>2047</c:v>
                </c:pt>
                <c:pt idx="21">
                  <c:v>2048</c:v>
                </c:pt>
                <c:pt idx="22">
                  <c:v>2049</c:v>
                </c:pt>
                <c:pt idx="23">
                  <c:v>2050</c:v>
                </c:pt>
                <c:pt idx="24">
                  <c:v>2051</c:v>
                </c:pt>
                <c:pt idx="25">
                  <c:v>2052</c:v>
                </c:pt>
                <c:pt idx="26">
                  <c:v>2053</c:v>
                </c:pt>
              </c:numCache>
            </c:numRef>
          </c:cat>
          <c:val>
            <c:numRef>
              <c:f>'Mid Case'!$D$593:$AD$593</c:f>
              <c:numCache>
                <c:formatCode>#,##0</c:formatCode>
                <c:ptCount val="27"/>
                <c:pt idx="0">
                  <c:v>0</c:v>
                </c:pt>
                <c:pt idx="1">
                  <c:v>11.1</c:v>
                </c:pt>
                <c:pt idx="2">
                  <c:v>16.684615384615384</c:v>
                </c:pt>
                <c:pt idx="3">
                  <c:v>19.3</c:v>
                </c:pt>
                <c:pt idx="4">
                  <c:v>26.8</c:v>
                </c:pt>
                <c:pt idx="5">
                  <c:v>26.8</c:v>
                </c:pt>
                <c:pt idx="6">
                  <c:v>36.180769230769229</c:v>
                </c:pt>
                <c:pt idx="7">
                  <c:v>35.419230769230765</c:v>
                </c:pt>
                <c:pt idx="8">
                  <c:v>35.799999999999997</c:v>
                </c:pt>
                <c:pt idx="9">
                  <c:v>35.799999999999997</c:v>
                </c:pt>
                <c:pt idx="10">
                  <c:v>35.799999999999997</c:v>
                </c:pt>
                <c:pt idx="11">
                  <c:v>35.799999999999997</c:v>
                </c:pt>
                <c:pt idx="12">
                  <c:v>35.799999999999997</c:v>
                </c:pt>
                <c:pt idx="13">
                  <c:v>28.3</c:v>
                </c:pt>
                <c:pt idx="14">
                  <c:v>28.3</c:v>
                </c:pt>
                <c:pt idx="15">
                  <c:v>23.8</c:v>
                </c:pt>
                <c:pt idx="16">
                  <c:v>329.81538461538463</c:v>
                </c:pt>
                <c:pt idx="17">
                  <c:v>0</c:v>
                </c:pt>
                <c:pt idx="18">
                  <c:v>0</c:v>
                </c:pt>
                <c:pt idx="19">
                  <c:v>0</c:v>
                </c:pt>
                <c:pt idx="20">
                  <c:v>0</c:v>
                </c:pt>
                <c:pt idx="21">
                  <c:v>0</c:v>
                </c:pt>
                <c:pt idx="22">
                  <c:v>0</c:v>
                </c:pt>
                <c:pt idx="23">
                  <c:v>0</c:v>
                </c:pt>
                <c:pt idx="24">
                  <c:v>0</c:v>
                </c:pt>
                <c:pt idx="25">
                  <c:v>0</c:v>
                </c:pt>
                <c:pt idx="26">
                  <c:v>0</c:v>
                </c:pt>
              </c:numCache>
            </c:numRef>
          </c:val>
          <c:extLst>
            <c:ext xmlns:c16="http://schemas.microsoft.com/office/drawing/2014/chart" uri="{C3380CC4-5D6E-409C-BE32-E72D297353CC}">
              <c16:uniqueId val="{00000005-EE75-4FA8-B5D3-FCAC163E2390}"/>
            </c:ext>
          </c:extLst>
        </c:ser>
        <c:dLbls>
          <c:showLegendKey val="0"/>
          <c:showVal val="0"/>
          <c:showCatName val="0"/>
          <c:showSerName val="0"/>
          <c:showPercent val="0"/>
          <c:showBubbleSize val="0"/>
        </c:dLbls>
        <c:gapWidth val="0"/>
        <c:overlap val="100"/>
        <c:axId val="371398232"/>
        <c:axId val="371398624"/>
      </c:barChart>
      <c:catAx>
        <c:axId val="371398232"/>
        <c:scaling>
          <c:orientation val="minMax"/>
        </c:scaling>
        <c:delete val="0"/>
        <c:axPos val="b"/>
        <c:numFmt formatCode="0" sourceLinked="1"/>
        <c:majorTickMark val="out"/>
        <c:minorTickMark val="none"/>
        <c:tickLblPos val="nextTo"/>
        <c:txPr>
          <a:bodyPr/>
          <a:lstStyle/>
          <a:p>
            <a:pPr>
              <a:defRPr sz="1000" b="0"/>
            </a:pPr>
            <a:endParaRPr lang="en-US"/>
          </a:p>
        </c:txPr>
        <c:crossAx val="371398624"/>
        <c:crosses val="autoZero"/>
        <c:auto val="1"/>
        <c:lblAlgn val="ctr"/>
        <c:lblOffset val="100"/>
        <c:noMultiLvlLbl val="0"/>
      </c:catAx>
      <c:valAx>
        <c:axId val="371398624"/>
        <c:scaling>
          <c:orientation val="minMax"/>
        </c:scaling>
        <c:delete val="0"/>
        <c:axPos val="l"/>
        <c:majorGridlines/>
        <c:title>
          <c:tx>
            <c:rich>
              <a:bodyPr rot="-5400000" vert="horz"/>
              <a:lstStyle/>
              <a:p>
                <a:pPr>
                  <a:defRPr sz="1200" b="0"/>
                </a:pPr>
                <a:r>
                  <a:rPr lang="en-US" sz="1200" b="0"/>
                  <a:t>A$ millions Real</a:t>
                </a:r>
              </a:p>
            </c:rich>
          </c:tx>
          <c:layout>
            <c:manualLayout>
              <c:xMode val="edge"/>
              <c:yMode val="edge"/>
              <c:x val="1.238967672038538E-2"/>
              <c:y val="0.22830715681357838"/>
            </c:manualLayout>
          </c:layout>
          <c:overlay val="0"/>
        </c:title>
        <c:numFmt formatCode="#,##0" sourceLinked="0"/>
        <c:majorTickMark val="out"/>
        <c:minorTickMark val="none"/>
        <c:tickLblPos val="nextTo"/>
        <c:txPr>
          <a:bodyPr/>
          <a:lstStyle/>
          <a:p>
            <a:pPr>
              <a:defRPr sz="1000" b="0"/>
            </a:pPr>
            <a:endParaRPr lang="en-US"/>
          </a:p>
        </c:txPr>
        <c:crossAx val="371398232"/>
        <c:crosses val="autoZero"/>
        <c:crossBetween val="between"/>
      </c:valAx>
    </c:plotArea>
    <c:legend>
      <c:legendPos val="b"/>
      <c:layout>
        <c:manualLayout>
          <c:xMode val="edge"/>
          <c:yMode val="edge"/>
          <c:x val="0"/>
          <c:y val="0.73780879443511849"/>
          <c:w val="0.99812904616073328"/>
          <c:h val="0.2621912055648814"/>
        </c:manualLayout>
      </c:layout>
      <c:overlay val="0"/>
      <c:txPr>
        <a:bodyPr/>
        <a:lstStyle/>
        <a:p>
          <a:pPr>
            <a:defRPr sz="1000" b="0"/>
          </a:pPr>
          <a:endParaRPr lang="en-US"/>
        </a:p>
      </c:txPr>
    </c:legend>
    <c:plotVisOnly val="1"/>
    <c:dispBlanksAs val="gap"/>
    <c:showDLblsOverMax val="0"/>
  </c:chart>
  <c:printSettings>
    <c:headerFooter/>
    <c:pageMargins b="0.75000000000000056" l="0.70000000000000051" r="0.70000000000000051" t="0.75000000000000056" header="0.30000000000000027" footer="0.30000000000000027"/>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en-US" sz="1600"/>
              <a:t>Capex</a:t>
            </a:r>
          </a:p>
        </c:rich>
      </c:tx>
      <c:overlay val="1"/>
    </c:title>
    <c:autoTitleDeleted val="0"/>
    <c:plotArea>
      <c:layout>
        <c:manualLayout>
          <c:layoutTarget val="inner"/>
          <c:xMode val="edge"/>
          <c:yMode val="edge"/>
          <c:x val="0.15254090904914597"/>
          <c:y val="0.16988953377835198"/>
          <c:w val="0.8020285008131276"/>
          <c:h val="0.52768813734348818"/>
        </c:manualLayout>
      </c:layout>
      <c:barChart>
        <c:barDir val="col"/>
        <c:grouping val="stacked"/>
        <c:varyColors val="0"/>
        <c:ser>
          <c:idx val="0"/>
          <c:order val="0"/>
          <c:tx>
            <c:strRef>
              <c:f>'Mid Case'!$A$346</c:f>
              <c:strCache>
                <c:ptCount val="1"/>
                <c:pt idx="0">
                  <c:v>Initial capex - mid case</c:v>
                </c:pt>
              </c:strCache>
            </c:strRef>
          </c:tx>
          <c:spPr>
            <a:solidFill>
              <a:srgbClr val="66CCFF"/>
            </a:solidFill>
            <a:ln>
              <a:noFill/>
            </a:ln>
          </c:spPr>
          <c:invertIfNegative val="0"/>
          <c:cat>
            <c:numRef>
              <c:f>'Mid Case'!$D$94:$N$94</c:f>
              <c:numCache>
                <c:formatCode>0</c:formatCode>
                <c:ptCount val="11"/>
                <c:pt idx="0">
                  <c:v>2027</c:v>
                </c:pt>
                <c:pt idx="1">
                  <c:v>2028</c:v>
                </c:pt>
                <c:pt idx="2">
                  <c:v>2029</c:v>
                </c:pt>
                <c:pt idx="3">
                  <c:v>2030</c:v>
                </c:pt>
                <c:pt idx="4">
                  <c:v>2031</c:v>
                </c:pt>
                <c:pt idx="5">
                  <c:v>2032</c:v>
                </c:pt>
                <c:pt idx="6">
                  <c:v>2033</c:v>
                </c:pt>
                <c:pt idx="7">
                  <c:v>2034</c:v>
                </c:pt>
                <c:pt idx="8">
                  <c:v>2035</c:v>
                </c:pt>
                <c:pt idx="9">
                  <c:v>2036</c:v>
                </c:pt>
                <c:pt idx="10">
                  <c:v>2037</c:v>
                </c:pt>
              </c:numCache>
            </c:numRef>
          </c:cat>
          <c:val>
            <c:numRef>
              <c:f>'Mid Case'!$D$346:$N$346</c:f>
              <c:numCache>
                <c:formatCode>#,##0</c:formatCode>
                <c:ptCount val="11"/>
                <c:pt idx="0">
                  <c:v>425</c:v>
                </c:pt>
                <c:pt idx="1">
                  <c:v>735</c:v>
                </c:pt>
                <c:pt idx="2">
                  <c:v>67</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7564-476F-92E4-50826E4E7C4B}"/>
            </c:ext>
          </c:extLst>
        </c:ser>
        <c:ser>
          <c:idx val="1"/>
          <c:order val="1"/>
          <c:tx>
            <c:strRef>
              <c:f>'Mid Case'!$A$354</c:f>
              <c:strCache>
                <c:ptCount val="1"/>
                <c:pt idx="0">
                  <c:v>ongoing capex</c:v>
                </c:pt>
              </c:strCache>
            </c:strRef>
          </c:tx>
          <c:spPr>
            <a:solidFill>
              <a:srgbClr val="0070C0"/>
            </a:solidFill>
          </c:spPr>
          <c:invertIfNegative val="0"/>
          <c:cat>
            <c:numRef>
              <c:f>'Mid Case'!$D$94:$N$94</c:f>
              <c:numCache>
                <c:formatCode>0</c:formatCode>
                <c:ptCount val="11"/>
                <c:pt idx="0">
                  <c:v>2027</c:v>
                </c:pt>
                <c:pt idx="1">
                  <c:v>2028</c:v>
                </c:pt>
                <c:pt idx="2">
                  <c:v>2029</c:v>
                </c:pt>
                <c:pt idx="3">
                  <c:v>2030</c:v>
                </c:pt>
                <c:pt idx="4">
                  <c:v>2031</c:v>
                </c:pt>
                <c:pt idx="5">
                  <c:v>2032</c:v>
                </c:pt>
                <c:pt idx="6">
                  <c:v>2033</c:v>
                </c:pt>
                <c:pt idx="7">
                  <c:v>2034</c:v>
                </c:pt>
                <c:pt idx="8">
                  <c:v>2035</c:v>
                </c:pt>
                <c:pt idx="9">
                  <c:v>2036</c:v>
                </c:pt>
                <c:pt idx="10">
                  <c:v>2037</c:v>
                </c:pt>
              </c:numCache>
            </c:numRef>
          </c:cat>
          <c:val>
            <c:numRef>
              <c:f>'Mid Case'!$D$354:$N$354</c:f>
              <c:numCache>
                <c:formatCode>#,##0</c:formatCode>
                <c:ptCount val="11"/>
                <c:pt idx="0">
                  <c:v>0</c:v>
                </c:pt>
                <c:pt idx="1">
                  <c:v>0</c:v>
                </c:pt>
                <c:pt idx="2">
                  <c:v>49.08</c:v>
                </c:pt>
                <c:pt idx="3">
                  <c:v>49.08</c:v>
                </c:pt>
                <c:pt idx="4">
                  <c:v>49.08</c:v>
                </c:pt>
                <c:pt idx="5">
                  <c:v>74.08</c:v>
                </c:pt>
                <c:pt idx="6">
                  <c:v>49.08</c:v>
                </c:pt>
                <c:pt idx="7">
                  <c:v>49.08</c:v>
                </c:pt>
                <c:pt idx="8">
                  <c:v>49.08</c:v>
                </c:pt>
                <c:pt idx="9">
                  <c:v>69.08</c:v>
                </c:pt>
                <c:pt idx="10">
                  <c:v>49.08</c:v>
                </c:pt>
              </c:numCache>
            </c:numRef>
          </c:val>
          <c:extLst>
            <c:ext xmlns:c16="http://schemas.microsoft.com/office/drawing/2014/chart" uri="{C3380CC4-5D6E-409C-BE32-E72D297353CC}">
              <c16:uniqueId val="{00000001-7564-476F-92E4-50826E4E7C4B}"/>
            </c:ext>
          </c:extLst>
        </c:ser>
        <c:dLbls>
          <c:showLegendKey val="0"/>
          <c:showVal val="0"/>
          <c:showCatName val="0"/>
          <c:showSerName val="0"/>
          <c:showPercent val="0"/>
          <c:showBubbleSize val="0"/>
        </c:dLbls>
        <c:gapWidth val="0"/>
        <c:overlap val="100"/>
        <c:axId val="371401760"/>
        <c:axId val="371402152"/>
      </c:barChart>
      <c:catAx>
        <c:axId val="371401760"/>
        <c:scaling>
          <c:orientation val="minMax"/>
        </c:scaling>
        <c:delete val="0"/>
        <c:axPos val="b"/>
        <c:numFmt formatCode="0" sourceLinked="1"/>
        <c:majorTickMark val="out"/>
        <c:minorTickMark val="none"/>
        <c:tickLblPos val="nextTo"/>
        <c:txPr>
          <a:bodyPr/>
          <a:lstStyle/>
          <a:p>
            <a:pPr>
              <a:defRPr sz="1000" b="0"/>
            </a:pPr>
            <a:endParaRPr lang="en-US"/>
          </a:p>
        </c:txPr>
        <c:crossAx val="371402152"/>
        <c:crosses val="autoZero"/>
        <c:auto val="1"/>
        <c:lblAlgn val="ctr"/>
        <c:lblOffset val="100"/>
        <c:noMultiLvlLbl val="0"/>
      </c:catAx>
      <c:valAx>
        <c:axId val="371402152"/>
        <c:scaling>
          <c:orientation val="minMax"/>
        </c:scaling>
        <c:delete val="0"/>
        <c:axPos val="l"/>
        <c:majorGridlines/>
        <c:title>
          <c:tx>
            <c:rich>
              <a:bodyPr rot="-5400000" vert="horz"/>
              <a:lstStyle/>
              <a:p>
                <a:pPr>
                  <a:defRPr sz="1200" b="0"/>
                </a:pPr>
                <a:r>
                  <a:rPr lang="en-US" sz="1200" b="0"/>
                  <a:t>A$ million</a:t>
                </a:r>
              </a:p>
            </c:rich>
          </c:tx>
          <c:layout>
            <c:manualLayout>
              <c:xMode val="edge"/>
              <c:yMode val="edge"/>
              <c:x val="7.8328924202730656E-3"/>
              <c:y val="0.19222623142763953"/>
            </c:manualLayout>
          </c:layout>
          <c:overlay val="0"/>
        </c:title>
        <c:numFmt formatCode="#,##0" sourceLinked="1"/>
        <c:majorTickMark val="out"/>
        <c:minorTickMark val="none"/>
        <c:tickLblPos val="nextTo"/>
        <c:txPr>
          <a:bodyPr/>
          <a:lstStyle/>
          <a:p>
            <a:pPr>
              <a:defRPr sz="1000" b="0"/>
            </a:pPr>
            <a:endParaRPr lang="en-US"/>
          </a:p>
        </c:txPr>
        <c:crossAx val="371401760"/>
        <c:crosses val="autoZero"/>
        <c:crossBetween val="between"/>
      </c:valAx>
    </c:plotArea>
    <c:legend>
      <c:legendPos val="b"/>
      <c:layout>
        <c:manualLayout>
          <c:xMode val="edge"/>
          <c:yMode val="edge"/>
          <c:x val="1.0720428857831884E-2"/>
          <c:y val="0.87993469958010351"/>
          <c:w val="0.97113868146555493"/>
          <c:h val="0.12006530041989689"/>
        </c:manualLayout>
      </c:layout>
      <c:overlay val="0"/>
      <c:txPr>
        <a:bodyPr/>
        <a:lstStyle/>
        <a:p>
          <a:pPr>
            <a:defRPr sz="1000" b="0"/>
          </a:pPr>
          <a:endParaRPr lang="en-US"/>
        </a:p>
      </c:txPr>
    </c:legend>
    <c:plotVisOnly val="1"/>
    <c:dispBlanksAs val="gap"/>
    <c:showDLblsOverMax val="0"/>
  </c:chart>
  <c:printSettings>
    <c:headerFooter/>
    <c:pageMargins b="0.75000000000000089" l="0.70000000000000062" r="0.70000000000000062" t="0.75000000000000089" header="0.30000000000000032" footer="0.30000000000000032"/>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8" Type="http://schemas.openxmlformats.org/officeDocument/2006/relationships/chart" Target="../charts/chart11.xml"/><Relationship Id="rId3" Type="http://schemas.openxmlformats.org/officeDocument/2006/relationships/chart" Target="../charts/chart6.xml"/><Relationship Id="rId7" Type="http://schemas.openxmlformats.org/officeDocument/2006/relationships/chart" Target="../charts/chart10.xml"/><Relationship Id="rId12" Type="http://schemas.openxmlformats.org/officeDocument/2006/relationships/chart" Target="../charts/chart15.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chart" Target="../charts/chart9.xml"/><Relationship Id="rId11" Type="http://schemas.openxmlformats.org/officeDocument/2006/relationships/chart" Target="../charts/chart14.xml"/><Relationship Id="rId5" Type="http://schemas.openxmlformats.org/officeDocument/2006/relationships/chart" Target="../charts/chart8.xml"/><Relationship Id="rId10" Type="http://schemas.openxmlformats.org/officeDocument/2006/relationships/chart" Target="../charts/chart13.xml"/><Relationship Id="rId4" Type="http://schemas.openxmlformats.org/officeDocument/2006/relationships/chart" Target="../charts/chart7.xml"/><Relationship Id="rId9"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8" Type="http://schemas.openxmlformats.org/officeDocument/2006/relationships/chart" Target="../charts/chart23.xml"/><Relationship Id="rId3" Type="http://schemas.openxmlformats.org/officeDocument/2006/relationships/chart" Target="../charts/chart18.xml"/><Relationship Id="rId7" Type="http://schemas.openxmlformats.org/officeDocument/2006/relationships/chart" Target="../charts/chart22.xml"/><Relationship Id="rId12" Type="http://schemas.openxmlformats.org/officeDocument/2006/relationships/chart" Target="../charts/chart27.xml"/><Relationship Id="rId2" Type="http://schemas.openxmlformats.org/officeDocument/2006/relationships/chart" Target="../charts/chart17.xml"/><Relationship Id="rId1" Type="http://schemas.openxmlformats.org/officeDocument/2006/relationships/chart" Target="../charts/chart16.xml"/><Relationship Id="rId6" Type="http://schemas.openxmlformats.org/officeDocument/2006/relationships/chart" Target="../charts/chart21.xml"/><Relationship Id="rId11" Type="http://schemas.openxmlformats.org/officeDocument/2006/relationships/chart" Target="../charts/chart26.xml"/><Relationship Id="rId5" Type="http://schemas.openxmlformats.org/officeDocument/2006/relationships/chart" Target="../charts/chart20.xml"/><Relationship Id="rId10" Type="http://schemas.openxmlformats.org/officeDocument/2006/relationships/chart" Target="../charts/chart25.xml"/><Relationship Id="rId4" Type="http://schemas.openxmlformats.org/officeDocument/2006/relationships/chart" Target="../charts/chart19.xml"/><Relationship Id="rId9" Type="http://schemas.openxmlformats.org/officeDocument/2006/relationships/chart" Target="../charts/chart24.xml"/></Relationships>
</file>

<file path=xl/drawings/_rels/drawing5.xml.rels><?xml version="1.0" encoding="UTF-8" standalone="yes"?>
<Relationships xmlns="http://schemas.openxmlformats.org/package/2006/relationships"><Relationship Id="rId8" Type="http://schemas.openxmlformats.org/officeDocument/2006/relationships/chart" Target="../charts/chart35.xml"/><Relationship Id="rId3" Type="http://schemas.openxmlformats.org/officeDocument/2006/relationships/chart" Target="../charts/chart30.xml"/><Relationship Id="rId7" Type="http://schemas.openxmlformats.org/officeDocument/2006/relationships/chart" Target="../charts/chart34.xml"/><Relationship Id="rId12" Type="http://schemas.openxmlformats.org/officeDocument/2006/relationships/chart" Target="../charts/chart39.xml"/><Relationship Id="rId2" Type="http://schemas.openxmlformats.org/officeDocument/2006/relationships/chart" Target="../charts/chart29.xml"/><Relationship Id="rId1" Type="http://schemas.openxmlformats.org/officeDocument/2006/relationships/chart" Target="../charts/chart28.xml"/><Relationship Id="rId6" Type="http://schemas.openxmlformats.org/officeDocument/2006/relationships/chart" Target="../charts/chart33.xml"/><Relationship Id="rId11" Type="http://schemas.openxmlformats.org/officeDocument/2006/relationships/chart" Target="../charts/chart38.xml"/><Relationship Id="rId5" Type="http://schemas.openxmlformats.org/officeDocument/2006/relationships/chart" Target="../charts/chart32.xml"/><Relationship Id="rId10" Type="http://schemas.openxmlformats.org/officeDocument/2006/relationships/chart" Target="../charts/chart37.xml"/><Relationship Id="rId4" Type="http://schemas.openxmlformats.org/officeDocument/2006/relationships/chart" Target="../charts/chart31.xml"/><Relationship Id="rId9" Type="http://schemas.openxmlformats.org/officeDocument/2006/relationships/chart" Target="../charts/chart36.xml"/></Relationships>
</file>

<file path=xl/drawings/drawing1.xml><?xml version="1.0" encoding="utf-8"?>
<xdr:wsDr xmlns:xdr="http://schemas.openxmlformats.org/drawingml/2006/spreadsheetDrawing" xmlns:a="http://schemas.openxmlformats.org/drawingml/2006/main">
  <xdr:twoCellAnchor>
    <xdr:from>
      <xdr:col>9</xdr:col>
      <xdr:colOff>600075</xdr:colOff>
      <xdr:row>2</xdr:row>
      <xdr:rowOff>69849</xdr:rowOff>
    </xdr:from>
    <xdr:to>
      <xdr:col>16</xdr:col>
      <xdr:colOff>419099</xdr:colOff>
      <xdr:row>10</xdr:row>
      <xdr:rowOff>28575</xdr:rowOff>
    </xdr:to>
    <xdr:sp macro="" textlink="">
      <xdr:nvSpPr>
        <xdr:cNvPr id="2" name="TextBox 1">
          <a:extLst>
            <a:ext uri="{FF2B5EF4-FFF2-40B4-BE49-F238E27FC236}">
              <a16:creationId xmlns:a16="http://schemas.microsoft.com/office/drawing/2014/main" id="{6EDCBE7E-801E-441D-BF64-59F426273885}"/>
            </a:ext>
          </a:extLst>
        </xdr:cNvPr>
        <xdr:cNvSpPr txBox="1"/>
      </xdr:nvSpPr>
      <xdr:spPr>
        <a:xfrm>
          <a:off x="7639050" y="584199"/>
          <a:ext cx="4314824" cy="149225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l"/>
          <a:r>
            <a:rPr lang="en-AU" sz="1200">
              <a:solidFill>
                <a:srgbClr val="00B050"/>
              </a:solidFill>
              <a:latin typeface="+mn-lt"/>
              <a:ea typeface="+mn-ea"/>
              <a:cs typeface="+mn-cs"/>
            </a:rPr>
            <a:t>This worked example illustrates the structure of an evaluation of an advanced stage mining</a:t>
          </a:r>
          <a:r>
            <a:rPr lang="en-AU" sz="1200" baseline="0">
              <a:solidFill>
                <a:srgbClr val="00B050"/>
              </a:solidFill>
              <a:latin typeface="+mn-lt"/>
              <a:ea typeface="+mn-ea"/>
              <a:cs typeface="+mn-cs"/>
            </a:rPr>
            <a:t> project</a:t>
          </a:r>
        </a:p>
        <a:p>
          <a:pPr marL="0" indent="0" algn="l"/>
          <a:endParaRPr lang="en-AU" sz="1200">
            <a:solidFill>
              <a:srgbClr val="00B050"/>
            </a:solidFill>
            <a:latin typeface="+mn-lt"/>
            <a:ea typeface="+mn-ea"/>
            <a:cs typeface="+mn-cs"/>
          </a:endParaRPr>
        </a:p>
        <a:p>
          <a:pPr marL="0" indent="0" algn="l"/>
          <a:r>
            <a:rPr lang="en-AU" sz="1200">
              <a:solidFill>
                <a:srgbClr val="00B050"/>
              </a:solidFill>
              <a:latin typeface="+mn-lt"/>
              <a:ea typeface="+mn-ea"/>
              <a:cs typeface="+mn-cs"/>
            </a:rPr>
            <a:t>This assessment is a lot more than computing NPV and IRR</a:t>
          </a:r>
          <a:r>
            <a:rPr lang="en-AU" sz="1200" baseline="0">
              <a:solidFill>
                <a:srgbClr val="00B050"/>
              </a:solidFill>
              <a:latin typeface="+mn-lt"/>
              <a:ea typeface="+mn-ea"/>
              <a:cs typeface="+mn-cs"/>
            </a:rPr>
            <a:t>.</a:t>
          </a:r>
          <a:endParaRPr lang="en-AU" sz="1200">
            <a:solidFill>
              <a:srgbClr val="00B050"/>
            </a:solidFill>
            <a:latin typeface="+mn-lt"/>
            <a:ea typeface="+mn-ea"/>
            <a:cs typeface="+mn-cs"/>
          </a:endParaRPr>
        </a:p>
        <a:p>
          <a:pPr marL="0" indent="0" algn="l"/>
          <a:endParaRPr lang="en-AU" sz="1200" baseline="0">
            <a:solidFill>
              <a:srgbClr val="00B050"/>
            </a:solidFill>
            <a:latin typeface="+mn-lt"/>
            <a:ea typeface="+mn-ea"/>
            <a:cs typeface="+mn-cs"/>
          </a:endParaRPr>
        </a:p>
        <a:p>
          <a:pPr marL="0" indent="0" algn="l"/>
          <a:r>
            <a:rPr lang="en-AU" sz="1200" baseline="0">
              <a:solidFill>
                <a:srgbClr val="00B050"/>
              </a:solidFill>
              <a:latin typeface="+mn-lt"/>
              <a:ea typeface="+mn-ea"/>
              <a:cs typeface="+mn-cs"/>
            </a:rPr>
            <a:t>Graphs are very helpful for 'visual' people and the graph of the four cashstreams reveals the anatomy of that alternative.</a:t>
          </a:r>
          <a:endParaRPr lang="en-AU" sz="1200" b="1">
            <a:solidFill>
              <a:srgbClr val="00B050"/>
            </a:solidFill>
            <a:latin typeface="+mn-lt"/>
            <a:ea typeface="+mn-ea"/>
            <a:cs typeface="+mn-cs"/>
          </a:endParaRPr>
        </a:p>
      </xdr:txBody>
    </xdr:sp>
    <xdr:clientData/>
  </xdr:twoCellAnchor>
  <xdr:twoCellAnchor>
    <xdr:from>
      <xdr:col>1</xdr:col>
      <xdr:colOff>171450</xdr:colOff>
      <xdr:row>3</xdr:row>
      <xdr:rowOff>101600</xdr:rowOff>
    </xdr:from>
    <xdr:to>
      <xdr:col>9</xdr:col>
      <xdr:colOff>542925</xdr:colOff>
      <xdr:row>3</xdr:row>
      <xdr:rowOff>123825</xdr:rowOff>
    </xdr:to>
    <xdr:cxnSp macro="">
      <xdr:nvCxnSpPr>
        <xdr:cNvPr id="3" name="Straight Arrow Connector 2">
          <a:extLst>
            <a:ext uri="{FF2B5EF4-FFF2-40B4-BE49-F238E27FC236}">
              <a16:creationId xmlns:a16="http://schemas.microsoft.com/office/drawing/2014/main" id="{F6930284-B573-411A-BCF0-E5B6BE2E9653}"/>
            </a:ext>
          </a:extLst>
        </xdr:cNvPr>
        <xdr:cNvCxnSpPr/>
      </xdr:nvCxnSpPr>
      <xdr:spPr>
        <a:xfrm>
          <a:off x="1314450" y="838200"/>
          <a:ext cx="6264275" cy="15875"/>
        </a:xfrm>
        <a:prstGeom prst="straightConnector1">
          <a:avLst/>
        </a:prstGeom>
        <a:ln w="28575">
          <a:solidFill>
            <a:srgbClr val="00B05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92075</xdr:colOff>
      <xdr:row>20</xdr:row>
      <xdr:rowOff>19050</xdr:rowOff>
    </xdr:from>
    <xdr:to>
      <xdr:col>11</xdr:col>
      <xdr:colOff>247650</xdr:colOff>
      <xdr:row>32</xdr:row>
      <xdr:rowOff>95250</xdr:rowOff>
    </xdr:to>
    <xdr:graphicFrame macro="">
      <xdr:nvGraphicFramePr>
        <xdr:cNvPr id="8" name="Chart 3">
          <a:extLst>
            <a:ext uri="{FF2B5EF4-FFF2-40B4-BE49-F238E27FC236}">
              <a16:creationId xmlns:a16="http://schemas.microsoft.com/office/drawing/2014/main" id="{76E728D7-EB0E-49D0-B884-7F117C8725F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428623</xdr:colOff>
      <xdr:row>2</xdr:row>
      <xdr:rowOff>111126</xdr:rowOff>
    </xdr:from>
    <xdr:to>
      <xdr:col>5</xdr:col>
      <xdr:colOff>933449</xdr:colOff>
      <xdr:row>2</xdr:row>
      <xdr:rowOff>466726</xdr:rowOff>
    </xdr:to>
    <xdr:sp macro="" textlink="">
      <xdr:nvSpPr>
        <xdr:cNvPr id="3" name="TextBox 2">
          <a:extLst>
            <a:ext uri="{FF2B5EF4-FFF2-40B4-BE49-F238E27FC236}">
              <a16:creationId xmlns:a16="http://schemas.microsoft.com/office/drawing/2014/main" id="{E8314D46-EF27-40E6-95C7-8EA7BA9D5660}"/>
            </a:ext>
          </a:extLst>
        </xdr:cNvPr>
        <xdr:cNvSpPr txBox="1"/>
      </xdr:nvSpPr>
      <xdr:spPr>
        <a:xfrm>
          <a:off x="3562348" y="768351"/>
          <a:ext cx="5781676" cy="355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b="1">
              <a:solidFill>
                <a:srgbClr val="FF00FF"/>
              </a:solidFill>
            </a:rPr>
            <a:t>         Read this first ---------------------------------------------------&gt;</a:t>
          </a:r>
        </a:p>
      </xdr:txBody>
    </xdr:sp>
    <xdr:clientData/>
  </xdr:twoCellAnchor>
  <xdr:twoCellAnchor>
    <xdr:from>
      <xdr:col>5</xdr:col>
      <xdr:colOff>552450</xdr:colOff>
      <xdr:row>2</xdr:row>
      <xdr:rowOff>104775</xdr:rowOff>
    </xdr:from>
    <xdr:to>
      <xdr:col>11</xdr:col>
      <xdr:colOff>323850</xdr:colOff>
      <xdr:row>9</xdr:row>
      <xdr:rowOff>76200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7353300" y="857250"/>
          <a:ext cx="5657850" cy="1971675"/>
        </a:xfrm>
        <a:prstGeom prst="rect">
          <a:avLst/>
        </a:prstGeom>
        <a:solidFill>
          <a:schemeClr val="lt1"/>
        </a:solidFill>
        <a:ln w="9525" cmpd="sng">
          <a:solidFill>
            <a:srgbClr val="FF33CC"/>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1100" b="0">
              <a:solidFill>
                <a:schemeClr val="accent6">
                  <a:lumMod val="75000"/>
                </a:schemeClr>
              </a:solidFill>
            </a:rPr>
            <a:t>The probability weighted NPV or "Expected NPV", is nothing</a:t>
          </a:r>
          <a:r>
            <a:rPr lang="en-AU" sz="1100" b="0" baseline="0">
              <a:solidFill>
                <a:schemeClr val="accent6">
                  <a:lumMod val="75000"/>
                </a:schemeClr>
              </a:solidFill>
            </a:rPr>
            <a:t> more than the</a:t>
          </a:r>
          <a:r>
            <a:rPr lang="en-AU" sz="1100" b="0">
              <a:solidFill>
                <a:schemeClr val="accent6">
                  <a:lumMod val="75000"/>
                </a:schemeClr>
              </a:solidFill>
            </a:rPr>
            <a:t> mathematical combination of many expert opinions/estimates!  </a:t>
          </a:r>
        </a:p>
        <a:p>
          <a:r>
            <a:rPr lang="en-AU" sz="1100" b="0">
              <a:solidFill>
                <a:schemeClr val="accent6">
                  <a:lumMod val="75000"/>
                </a:schemeClr>
              </a:solidFill>
            </a:rPr>
            <a:t>NPV</a:t>
          </a:r>
          <a:r>
            <a:rPr lang="en-AU" sz="1100" b="0" baseline="0">
              <a:solidFill>
                <a:schemeClr val="accent6">
                  <a:lumMod val="75000"/>
                </a:schemeClr>
              </a:solidFill>
            </a:rPr>
            <a:t> </a:t>
          </a:r>
          <a:r>
            <a:rPr lang="en-AU" sz="1100" b="0">
              <a:solidFill>
                <a:schemeClr val="accent6">
                  <a:lumMod val="75000"/>
                </a:schemeClr>
              </a:solidFill>
            </a:rPr>
            <a:t>is not an absolute truth!  </a:t>
          </a:r>
        </a:p>
        <a:p>
          <a:r>
            <a:rPr lang="en-AU" sz="1100" b="0">
              <a:solidFill>
                <a:schemeClr val="accent6">
                  <a:lumMod val="75000"/>
                </a:schemeClr>
              </a:solidFill>
            </a:rPr>
            <a:t>Do not get lost in its mathematics!</a:t>
          </a:r>
        </a:p>
        <a:p>
          <a:endParaRPr lang="en-AU" sz="1100" b="0">
            <a:solidFill>
              <a:schemeClr val="accent6">
                <a:lumMod val="75000"/>
              </a:schemeClr>
            </a:solidFill>
          </a:endParaRPr>
        </a:p>
        <a:p>
          <a:r>
            <a:rPr lang="en-AU" sz="1100" b="0">
              <a:solidFill>
                <a:schemeClr val="accent6">
                  <a:lumMod val="75000"/>
                </a:schemeClr>
              </a:solidFill>
            </a:rPr>
            <a:t>More important is understanding:</a:t>
          </a:r>
        </a:p>
        <a:p>
          <a:r>
            <a:rPr lang="en-AU" sz="1100" b="0">
              <a:solidFill>
                <a:schemeClr val="accent6">
                  <a:lumMod val="75000"/>
                </a:schemeClr>
              </a:solidFill>
            </a:rPr>
            <a:t>1. The profile and health of each</a:t>
          </a:r>
          <a:r>
            <a:rPr lang="en-AU" sz="1100" b="0" baseline="0">
              <a:solidFill>
                <a:schemeClr val="accent6">
                  <a:lumMod val="75000"/>
                </a:schemeClr>
              </a:solidFill>
            </a:rPr>
            <a:t> of these three cases as illustrated by their</a:t>
          </a:r>
          <a:r>
            <a:rPr lang="en-AU" sz="1100" b="0">
              <a:solidFill>
                <a:schemeClr val="accent6">
                  <a:lumMod val="75000"/>
                </a:schemeClr>
              </a:solidFill>
            </a:rPr>
            <a:t> graphs.</a:t>
          </a:r>
          <a:r>
            <a:rPr lang="en-AU" sz="1100" b="0" baseline="0">
              <a:solidFill>
                <a:schemeClr val="accent6">
                  <a:lumMod val="75000"/>
                </a:schemeClr>
              </a:solidFill>
            </a:rPr>
            <a:t>  </a:t>
          </a:r>
        </a:p>
        <a:p>
          <a:r>
            <a:rPr lang="en-AU" sz="1100" b="0">
              <a:solidFill>
                <a:schemeClr val="accent6">
                  <a:lumMod val="75000"/>
                </a:schemeClr>
              </a:solidFill>
            </a:rPr>
            <a:t>2. Deciding the path for the Company with this range of possible</a:t>
          </a:r>
          <a:r>
            <a:rPr lang="en-AU" sz="1100" b="0" baseline="0">
              <a:solidFill>
                <a:schemeClr val="accent6">
                  <a:lumMod val="75000"/>
                </a:schemeClr>
              </a:solidFill>
            </a:rPr>
            <a:t> </a:t>
          </a:r>
          <a:r>
            <a:rPr lang="en-AU" sz="1100" b="0">
              <a:solidFill>
                <a:schemeClr val="accent6">
                  <a:lumMod val="75000"/>
                </a:schemeClr>
              </a:solidFill>
            </a:rPr>
            <a:t>business outcomes  - as portrayed by these low, mid and high cases: which</a:t>
          </a:r>
          <a:r>
            <a:rPr lang="en-AU" sz="1100" b="0" baseline="0">
              <a:solidFill>
                <a:schemeClr val="accent6">
                  <a:lumMod val="75000"/>
                </a:schemeClr>
              </a:solidFill>
            </a:rPr>
            <a:t> could be disaster, OK or fabulous!  </a:t>
          </a:r>
        </a:p>
        <a:p>
          <a:r>
            <a:rPr lang="en-AU" sz="1100" b="0" baseline="0">
              <a:solidFill>
                <a:schemeClr val="accent6">
                  <a:lumMod val="75000"/>
                </a:schemeClr>
              </a:solidFill>
            </a:rPr>
            <a:t>Read more on the website!   Peter</a:t>
          </a:r>
          <a:endParaRPr lang="en-AU" sz="1100" b="0">
            <a:solidFill>
              <a:schemeClr val="accent6">
                <a:lumMod val="75000"/>
              </a:schemeClr>
            </a:solidFill>
          </a:endParaRPr>
        </a:p>
      </xdr:txBody>
    </xdr:sp>
    <xdr:clientData/>
  </xdr:twoCellAnchor>
  <xdr:twoCellAnchor>
    <xdr:from>
      <xdr:col>5</xdr:col>
      <xdr:colOff>314325</xdr:colOff>
      <xdr:row>10</xdr:row>
      <xdr:rowOff>123825</xdr:rowOff>
    </xdr:from>
    <xdr:to>
      <xdr:col>9</xdr:col>
      <xdr:colOff>466725</xdr:colOff>
      <xdr:row>19</xdr:row>
      <xdr:rowOff>133350</xdr:rowOff>
    </xdr:to>
    <xdr:graphicFrame macro="">
      <xdr:nvGraphicFramePr>
        <xdr:cNvPr id="5" name="Chart 3">
          <a:extLst>
            <a:ext uri="{FF2B5EF4-FFF2-40B4-BE49-F238E27FC236}">
              <a16:creationId xmlns:a16="http://schemas.microsoft.com/office/drawing/2014/main" id="{60AB2422-0188-4B20-8F4A-7665313C18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1311275</xdr:colOff>
      <xdr:row>20</xdr:row>
      <xdr:rowOff>19050</xdr:rowOff>
    </xdr:from>
    <xdr:to>
      <xdr:col>7</xdr:col>
      <xdr:colOff>47625</xdr:colOff>
      <xdr:row>32</xdr:row>
      <xdr:rowOff>92075</xdr:rowOff>
    </xdr:to>
    <xdr:graphicFrame macro="">
      <xdr:nvGraphicFramePr>
        <xdr:cNvPr id="7" name="Chart 3">
          <a:extLst>
            <a:ext uri="{FF2B5EF4-FFF2-40B4-BE49-F238E27FC236}">
              <a16:creationId xmlns:a16="http://schemas.microsoft.com/office/drawing/2014/main" id="{19A18B59-7F28-4AB0-BE84-47B8D7FD19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295274</xdr:colOff>
      <xdr:row>33</xdr:row>
      <xdr:rowOff>723901</xdr:rowOff>
    </xdr:from>
    <xdr:to>
      <xdr:col>5</xdr:col>
      <xdr:colOff>88899</xdr:colOff>
      <xdr:row>34</xdr:row>
      <xdr:rowOff>171451</xdr:rowOff>
    </xdr:to>
    <xdr:sp macro="" textlink="">
      <xdr:nvSpPr>
        <xdr:cNvPr id="4" name="TextBox 3">
          <a:extLst>
            <a:ext uri="{FF2B5EF4-FFF2-40B4-BE49-F238E27FC236}">
              <a16:creationId xmlns:a16="http://schemas.microsoft.com/office/drawing/2014/main" id="{D3C48579-C42A-B8FF-9FDF-F4ED8A2342ED}"/>
            </a:ext>
          </a:extLst>
        </xdr:cNvPr>
        <xdr:cNvSpPr txBox="1"/>
      </xdr:nvSpPr>
      <xdr:spPr>
        <a:xfrm>
          <a:off x="3714749" y="7991476"/>
          <a:ext cx="3175000"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solidFill>
                <a:schemeClr val="accent6">
                  <a:lumMod val="75000"/>
                </a:schemeClr>
              </a:solidFill>
            </a:rPr>
            <a:t>Enter the years only once in this whole model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xdr:colOff>
      <xdr:row>34</xdr:row>
      <xdr:rowOff>63502</xdr:rowOff>
    </xdr:from>
    <xdr:to>
      <xdr:col>4</xdr:col>
      <xdr:colOff>787400</xdr:colOff>
      <xdr:row>43</xdr:row>
      <xdr:rowOff>76200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615950</xdr:colOff>
      <xdr:row>21</xdr:row>
      <xdr:rowOff>28575</xdr:rowOff>
    </xdr:from>
    <xdr:to>
      <xdr:col>3</xdr:col>
      <xdr:colOff>152400</xdr:colOff>
      <xdr:row>36</xdr:row>
      <xdr:rowOff>133350</xdr:rowOff>
    </xdr:to>
    <xdr:cxnSp macro="">
      <xdr:nvCxnSpPr>
        <xdr:cNvPr id="10" name="Straight Arrow Connector 9">
          <a:extLst>
            <a:ext uri="{FF2B5EF4-FFF2-40B4-BE49-F238E27FC236}">
              <a16:creationId xmlns:a16="http://schemas.microsoft.com/office/drawing/2014/main" id="{00000000-0008-0000-0200-00000A000000}"/>
            </a:ext>
          </a:extLst>
        </xdr:cNvPr>
        <xdr:cNvCxnSpPr/>
      </xdr:nvCxnSpPr>
      <xdr:spPr>
        <a:xfrm flipH="1">
          <a:off x="3521075" y="4972050"/>
          <a:ext cx="2374900" cy="3295650"/>
        </a:xfrm>
        <a:prstGeom prst="straightConnector1">
          <a:avLst/>
        </a:prstGeom>
        <a:ln w="25400" cap="flat" cmpd="sng" algn="ctr">
          <a:solidFill>
            <a:schemeClr val="accent6">
              <a:lumMod val="75000"/>
            </a:schemeClr>
          </a:solidFill>
          <a:prstDash val="dash"/>
          <a:round/>
          <a:headEnd type="none" w="med" len="med"/>
          <a:tailEnd type="stealth" w="lg" len="lg"/>
        </a:ln>
      </xdr:spPr>
      <xdr:style>
        <a:lnRef idx="0">
          <a:scrgbClr r="0" g="0" b="0"/>
        </a:lnRef>
        <a:fillRef idx="0">
          <a:scrgbClr r="0" g="0" b="0"/>
        </a:fillRef>
        <a:effectRef idx="0">
          <a:scrgbClr r="0" g="0" b="0"/>
        </a:effectRef>
        <a:fontRef idx="minor">
          <a:schemeClr val="tx1"/>
        </a:fontRef>
      </xdr:style>
    </xdr:cxnSp>
    <xdr:clientData/>
  </xdr:twoCellAnchor>
  <xdr:twoCellAnchor>
    <xdr:from>
      <xdr:col>0</xdr:col>
      <xdr:colOff>133351</xdr:colOff>
      <xdr:row>43</xdr:row>
      <xdr:rowOff>161925</xdr:rowOff>
    </xdr:from>
    <xdr:to>
      <xdr:col>1</xdr:col>
      <xdr:colOff>1028700</xdr:colOff>
      <xdr:row>55</xdr:row>
      <xdr:rowOff>25400</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177800</xdr:colOff>
      <xdr:row>55</xdr:row>
      <xdr:rowOff>133352</xdr:rowOff>
    </xdr:from>
    <xdr:to>
      <xdr:col>1</xdr:col>
      <xdr:colOff>1019175</xdr:colOff>
      <xdr:row>65</xdr:row>
      <xdr:rowOff>66676</xdr:rowOff>
    </xdr:to>
    <xdr:graphicFrame macro="">
      <xdr:nvGraphicFramePr>
        <xdr:cNvPr id="4" name="Chart 4">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114301</xdr:colOff>
      <xdr:row>23</xdr:row>
      <xdr:rowOff>15877</xdr:rowOff>
    </xdr:from>
    <xdr:to>
      <xdr:col>5</xdr:col>
      <xdr:colOff>847725</xdr:colOff>
      <xdr:row>33</xdr:row>
      <xdr:rowOff>133351</xdr:rowOff>
    </xdr:to>
    <xdr:graphicFrame macro="">
      <xdr:nvGraphicFramePr>
        <xdr:cNvPr id="5" name="Chart 3">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1257300</xdr:colOff>
      <xdr:row>74</xdr:row>
      <xdr:rowOff>209551</xdr:rowOff>
    </xdr:from>
    <xdr:to>
      <xdr:col>5</xdr:col>
      <xdr:colOff>781050</xdr:colOff>
      <xdr:row>92</xdr:row>
      <xdr:rowOff>1</xdr:rowOff>
    </xdr:to>
    <xdr:graphicFrame macro="">
      <xdr:nvGraphicFramePr>
        <xdr:cNvPr id="6" name="Chart 2">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133350</xdr:colOff>
      <xdr:row>75</xdr:row>
      <xdr:rowOff>2</xdr:rowOff>
    </xdr:from>
    <xdr:to>
      <xdr:col>1</xdr:col>
      <xdr:colOff>1076325</xdr:colOff>
      <xdr:row>83</xdr:row>
      <xdr:rowOff>177800</xdr:rowOff>
    </xdr:to>
    <xdr:graphicFrame macro="">
      <xdr:nvGraphicFramePr>
        <xdr:cNvPr id="7" name="Chart 2">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133350</xdr:colOff>
      <xdr:row>84</xdr:row>
      <xdr:rowOff>28576</xdr:rowOff>
    </xdr:from>
    <xdr:to>
      <xdr:col>1</xdr:col>
      <xdr:colOff>1047750</xdr:colOff>
      <xdr:row>92</xdr:row>
      <xdr:rowOff>47626</xdr:rowOff>
    </xdr:to>
    <xdr:graphicFrame macro="">
      <xdr:nvGraphicFramePr>
        <xdr:cNvPr id="8" name="Chart 2">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133351</xdr:colOff>
      <xdr:row>16</xdr:row>
      <xdr:rowOff>85726</xdr:rowOff>
    </xdr:from>
    <xdr:to>
      <xdr:col>8</xdr:col>
      <xdr:colOff>428625</xdr:colOff>
      <xdr:row>22</xdr:row>
      <xdr:rowOff>38100</xdr:rowOff>
    </xdr:to>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5876926" y="4105276"/>
          <a:ext cx="4676774" cy="1152524"/>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1200" b="0">
              <a:solidFill>
                <a:schemeClr val="accent6">
                  <a:lumMod val="75000"/>
                </a:schemeClr>
              </a:solidFill>
            </a:rPr>
            <a:t>The NPV and</a:t>
          </a:r>
          <a:r>
            <a:rPr lang="en-AU" sz="1200" b="0" baseline="0">
              <a:solidFill>
                <a:schemeClr val="accent6">
                  <a:lumMod val="75000"/>
                </a:schemeClr>
              </a:solidFill>
            </a:rPr>
            <a:t> IRR are</a:t>
          </a:r>
          <a:r>
            <a:rPr lang="en-AU" sz="1200" b="0">
              <a:solidFill>
                <a:schemeClr val="accent6">
                  <a:lumMod val="75000"/>
                </a:schemeClr>
              </a:solidFill>
            </a:rPr>
            <a:t> nothing</a:t>
          </a:r>
          <a:r>
            <a:rPr lang="en-AU" sz="1200" b="0" baseline="0">
              <a:solidFill>
                <a:schemeClr val="accent6">
                  <a:lumMod val="75000"/>
                </a:schemeClr>
              </a:solidFill>
            </a:rPr>
            <a:t> more than the</a:t>
          </a:r>
          <a:r>
            <a:rPr lang="en-AU" sz="1200" b="0">
              <a:solidFill>
                <a:schemeClr val="accent6">
                  <a:lumMod val="75000"/>
                </a:schemeClr>
              </a:solidFill>
            </a:rPr>
            <a:t> mathematical combination of many expert opinions/estimates!</a:t>
          </a:r>
        </a:p>
        <a:p>
          <a:r>
            <a:rPr lang="en-AU" sz="1200" b="0">
              <a:solidFill>
                <a:schemeClr val="accent6">
                  <a:lumMod val="75000"/>
                </a:schemeClr>
              </a:solidFill>
            </a:rPr>
            <a:t>More important is understanding</a:t>
          </a:r>
          <a:r>
            <a:rPr lang="en-AU" sz="1200" b="0" baseline="0">
              <a:solidFill>
                <a:schemeClr val="accent6">
                  <a:lumMod val="75000"/>
                </a:schemeClr>
              </a:solidFill>
            </a:rPr>
            <a:t> th</a:t>
          </a:r>
          <a:r>
            <a:rPr lang="en-AU" sz="1200" b="0">
              <a:solidFill>
                <a:schemeClr val="accent6">
                  <a:lumMod val="75000"/>
                </a:schemeClr>
              </a:solidFill>
            </a:rPr>
            <a:t>e profile and health of each business case as given by its graphs.</a:t>
          </a:r>
          <a:r>
            <a:rPr lang="en-AU" sz="1200" b="0" baseline="0">
              <a:solidFill>
                <a:schemeClr val="accent6">
                  <a:lumMod val="75000"/>
                </a:schemeClr>
              </a:solidFill>
            </a:rPr>
            <a:t>  And t</a:t>
          </a:r>
          <a:r>
            <a:rPr lang="en-AU" sz="1200" b="0">
              <a:solidFill>
                <a:schemeClr val="accent6">
                  <a:lumMod val="75000"/>
                </a:schemeClr>
              </a:solidFill>
            </a:rPr>
            <a:t>he best graph to quickly understand a particular </a:t>
          </a:r>
          <a:r>
            <a:rPr lang="en-AU" sz="1200" b="0" baseline="0">
              <a:solidFill>
                <a:schemeClr val="accent6">
                  <a:lumMod val="75000"/>
                </a:schemeClr>
              </a:solidFill>
            </a:rPr>
            <a:t>case</a:t>
          </a:r>
          <a:r>
            <a:rPr lang="en-AU" sz="1200" b="0">
              <a:solidFill>
                <a:schemeClr val="accent6">
                  <a:lumMod val="75000"/>
                </a:schemeClr>
              </a:solidFill>
            </a:rPr>
            <a:t> is the "Four Cash Flows".</a:t>
          </a:r>
          <a:r>
            <a:rPr lang="en-AU" sz="1200" b="0" baseline="0">
              <a:solidFill>
                <a:schemeClr val="accent6">
                  <a:lumMod val="75000"/>
                </a:schemeClr>
              </a:solidFill>
            </a:rPr>
            <a:t>  </a:t>
          </a:r>
        </a:p>
      </xdr:txBody>
    </xdr:sp>
    <xdr:clientData/>
  </xdr:twoCellAnchor>
  <xdr:twoCellAnchor>
    <xdr:from>
      <xdr:col>1</xdr:col>
      <xdr:colOff>1171576</xdr:colOff>
      <xdr:row>43</xdr:row>
      <xdr:rowOff>170640</xdr:rowOff>
    </xdr:from>
    <xdr:to>
      <xdr:col>5</xdr:col>
      <xdr:colOff>838200</xdr:colOff>
      <xdr:row>55</xdr:row>
      <xdr:rowOff>47626</xdr:rowOff>
    </xdr:to>
    <xdr:graphicFrame macro="">
      <xdr:nvGraphicFramePr>
        <xdr:cNvPr id="11" name="Chart 2">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133350</xdr:colOff>
      <xdr:row>65</xdr:row>
      <xdr:rowOff>158752</xdr:rowOff>
    </xdr:from>
    <xdr:to>
      <xdr:col>1</xdr:col>
      <xdr:colOff>1066800</xdr:colOff>
      <xdr:row>74</xdr:row>
      <xdr:rowOff>171451</xdr:rowOff>
    </xdr:to>
    <xdr:graphicFrame macro="">
      <xdr:nvGraphicFramePr>
        <xdr:cNvPr id="13" name="Chart 4">
          <a:extLst>
            <a:ext uri="{FF2B5EF4-FFF2-40B4-BE49-F238E27FC236}">
              <a16:creationId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1238250</xdr:colOff>
      <xdr:row>65</xdr:row>
      <xdr:rowOff>161925</xdr:rowOff>
    </xdr:from>
    <xdr:to>
      <xdr:col>5</xdr:col>
      <xdr:colOff>847725</xdr:colOff>
      <xdr:row>74</xdr:row>
      <xdr:rowOff>152400</xdr:rowOff>
    </xdr:to>
    <xdr:graphicFrame macro="">
      <xdr:nvGraphicFramePr>
        <xdr:cNvPr id="24" name="Chart 2">
          <a:extLst>
            <a:ext uri="{FF2B5EF4-FFF2-40B4-BE49-F238E27FC236}">
              <a16:creationId xmlns:a16="http://schemas.microsoft.com/office/drawing/2014/main" id="{00000000-0008-0000-02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1206500</xdr:colOff>
      <xdr:row>55</xdr:row>
      <xdr:rowOff>101601</xdr:rowOff>
    </xdr:from>
    <xdr:to>
      <xdr:col>5</xdr:col>
      <xdr:colOff>828675</xdr:colOff>
      <xdr:row>65</xdr:row>
      <xdr:rowOff>57151</xdr:rowOff>
    </xdr:to>
    <xdr:graphicFrame macro="">
      <xdr:nvGraphicFramePr>
        <xdr:cNvPr id="26" name="Chart 4">
          <a:extLst>
            <a:ext uri="{FF2B5EF4-FFF2-40B4-BE49-F238E27FC236}">
              <a16:creationId xmlns:a16="http://schemas.microsoft.com/office/drawing/2014/main" id="{00000000-0008-0000-02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295910</xdr:colOff>
      <xdr:row>206</xdr:row>
      <xdr:rowOff>419101</xdr:rowOff>
    </xdr:from>
    <xdr:to>
      <xdr:col>10</xdr:col>
      <xdr:colOff>371475</xdr:colOff>
      <xdr:row>207</xdr:row>
      <xdr:rowOff>1562101</xdr:rowOff>
    </xdr:to>
    <xdr:sp macro="" textlink="">
      <xdr:nvSpPr>
        <xdr:cNvPr id="17" name="TextBox 16">
          <a:extLst>
            <a:ext uri="{FF2B5EF4-FFF2-40B4-BE49-F238E27FC236}">
              <a16:creationId xmlns:a16="http://schemas.microsoft.com/office/drawing/2014/main" id="{00000000-0008-0000-0200-000011000000}"/>
            </a:ext>
          </a:extLst>
        </xdr:cNvPr>
        <xdr:cNvSpPr txBox="1"/>
      </xdr:nvSpPr>
      <xdr:spPr>
        <a:xfrm>
          <a:off x="295910" y="43881676"/>
          <a:ext cx="11953240" cy="1790700"/>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1100" b="1">
              <a:solidFill>
                <a:schemeClr val="accent6">
                  <a:lumMod val="75000"/>
                </a:schemeClr>
              </a:solidFill>
            </a:rPr>
            <a:t>You have a choice of how to compute revenue:</a:t>
          </a:r>
        </a:p>
        <a:p>
          <a:r>
            <a:rPr lang="en-AU" sz="1100" b="1">
              <a:solidFill>
                <a:schemeClr val="accent6">
                  <a:lumMod val="75000"/>
                </a:schemeClr>
              </a:solidFill>
            </a:rPr>
            <a:t>Method 1</a:t>
          </a:r>
          <a:r>
            <a:rPr lang="en-AU" sz="1100" b="0" baseline="0">
              <a:solidFill>
                <a:schemeClr val="accent6">
                  <a:lumMod val="75000"/>
                </a:schemeClr>
              </a:solidFill>
            </a:rPr>
            <a:t> typically is used by some 'merchant bankers' and people with limited hands-on operational experience.  I have seen a number of major errors go undetected.   The revenue is computed inside  enormous algorithms so tracing back and auditing is dreadfully slow and apinful.  The value of contained metals,  the deductions, the TC and RC's, the penalties/premiums and possibly the transport costs are computed as a series of subtotals or occasionally (and absolutely stupidly) it is computed in one or two monstrous algorithms.   Any errors - which are so easy to make -  get lhidden.  This method is favoured by people who are very confident in their abilities with Excel and love big complex algorithms.  They are in too much of a rush to do things properly.   (They go home proud of their 'trophy' models - not realising this is no longer acceptable practice)</a:t>
          </a:r>
        </a:p>
        <a:p>
          <a:r>
            <a:rPr lang="en-AU" sz="1100" b="1">
              <a:solidFill>
                <a:schemeClr val="accent6">
                  <a:lumMod val="75000"/>
                </a:schemeClr>
              </a:solidFill>
            </a:rPr>
            <a:t>Method 2</a:t>
          </a:r>
          <a:r>
            <a:rPr lang="en-AU" sz="1100" b="0">
              <a:solidFill>
                <a:schemeClr val="accent6">
                  <a:lumMod val="75000"/>
                </a:schemeClr>
              </a:solidFill>
            </a:rPr>
            <a:t> is illustrated below.  First compute the price</a:t>
          </a:r>
          <a:r>
            <a:rPr lang="en-AU" sz="1100" b="0" baseline="0">
              <a:solidFill>
                <a:schemeClr val="accent6">
                  <a:lumMod val="75000"/>
                </a:schemeClr>
              </a:solidFill>
            </a:rPr>
            <a:t> of each tonne of concentrate in visible small steps so you and others can immediately recognise any errors and the price can be sense tested.  Then multiply the price by the tonnes sold.  Everything is transparent and easy to follow.  </a:t>
          </a:r>
        </a:p>
        <a:p>
          <a:r>
            <a:rPr lang="en-AU" sz="1100" b="1" baseline="0">
              <a:solidFill>
                <a:schemeClr val="accent6">
                  <a:lumMod val="75000"/>
                </a:schemeClr>
              </a:solidFill>
            </a:rPr>
            <a:t>Transport of Concentrate Costs: </a:t>
          </a:r>
          <a:r>
            <a:rPr lang="en-AU" sz="1100" b="0" baseline="0">
              <a:solidFill>
                <a:schemeClr val="accent6">
                  <a:lumMod val="75000"/>
                </a:schemeClr>
              </a:solidFill>
            </a:rPr>
            <a:t>In this worked example the cost of transporting concentrate to point of sale is in the operating costs, but if you prefer you can move it up here to the Revenue cashstream.</a:t>
          </a:r>
          <a:endParaRPr lang="en-AU" sz="1100" b="0">
            <a:solidFill>
              <a:schemeClr val="accent6">
                <a:lumMod val="75000"/>
              </a:schemeClr>
            </a:solidFill>
          </a:endParaRPr>
        </a:p>
      </xdr:txBody>
    </xdr:sp>
    <xdr:clientData/>
  </xdr:twoCellAnchor>
  <xdr:twoCellAnchor>
    <xdr:from>
      <xdr:col>0</xdr:col>
      <xdr:colOff>82550</xdr:colOff>
      <xdr:row>23</xdr:row>
      <xdr:rowOff>1</xdr:rowOff>
    </xdr:from>
    <xdr:to>
      <xdr:col>1</xdr:col>
      <xdr:colOff>1254125</xdr:colOff>
      <xdr:row>33</xdr:row>
      <xdr:rowOff>133351</xdr:rowOff>
    </xdr:to>
    <xdr:graphicFrame macro="">
      <xdr:nvGraphicFramePr>
        <xdr:cNvPr id="23" name="Chart 3">
          <a:extLst>
            <a:ext uri="{FF2B5EF4-FFF2-40B4-BE49-F238E27FC236}">
              <a16:creationId xmlns:a16="http://schemas.microsoft.com/office/drawing/2014/main" id="{4B07921B-2F51-4148-86AD-DC717EE253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187325</xdr:colOff>
      <xdr:row>372</xdr:row>
      <xdr:rowOff>142875</xdr:rowOff>
    </xdr:from>
    <xdr:to>
      <xdr:col>7</xdr:col>
      <xdr:colOff>95250</xdr:colOff>
      <xdr:row>377</xdr:row>
      <xdr:rowOff>6350</xdr:rowOff>
    </xdr:to>
    <xdr:sp macro="" textlink="">
      <xdr:nvSpPr>
        <xdr:cNvPr id="15" name="TextBox 14">
          <a:extLst>
            <a:ext uri="{FF2B5EF4-FFF2-40B4-BE49-F238E27FC236}">
              <a16:creationId xmlns:a16="http://schemas.microsoft.com/office/drawing/2014/main" id="{56CBF39D-E64E-95F9-BC02-CF7AA8BA55B1}"/>
            </a:ext>
          </a:extLst>
        </xdr:cNvPr>
        <xdr:cNvSpPr txBox="1"/>
      </xdr:nvSpPr>
      <xdr:spPr>
        <a:xfrm>
          <a:off x="7683500" y="77895450"/>
          <a:ext cx="1660525" cy="720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solidFill>
                <a:schemeClr val="accent6">
                  <a:lumMod val="75000"/>
                </a:schemeClr>
              </a:solidFill>
            </a:rPr>
            <a:t>Italics</a:t>
          </a:r>
          <a:r>
            <a:rPr lang="en-AU" sz="1100" baseline="0">
              <a:solidFill>
                <a:schemeClr val="accent6">
                  <a:lumMod val="75000"/>
                </a:schemeClr>
              </a:solidFill>
            </a:rPr>
            <a:t> for Nominal $</a:t>
          </a:r>
        </a:p>
        <a:p>
          <a:endParaRPr lang="en-AU" sz="1100" baseline="0">
            <a:solidFill>
              <a:schemeClr val="accent6">
                <a:lumMod val="75000"/>
              </a:schemeClr>
            </a:solidFill>
          </a:endParaRPr>
        </a:p>
        <a:p>
          <a:r>
            <a:rPr lang="en-AU" sz="1100" baseline="0">
              <a:solidFill>
                <a:schemeClr val="accent6">
                  <a:lumMod val="75000"/>
                </a:schemeClr>
              </a:solidFill>
            </a:rPr>
            <a:t>Vertical for Real $</a:t>
          </a:r>
          <a:endParaRPr lang="en-AU" sz="1100">
            <a:solidFill>
              <a:schemeClr val="accent6">
                <a:lumMod val="75000"/>
              </a:schemeClr>
            </a:solidFill>
          </a:endParaRPr>
        </a:p>
      </xdr:txBody>
    </xdr:sp>
    <xdr:clientData/>
  </xdr:twoCellAnchor>
  <xdr:twoCellAnchor>
    <xdr:from>
      <xdr:col>5</xdr:col>
      <xdr:colOff>114300</xdr:colOff>
      <xdr:row>724</xdr:row>
      <xdr:rowOff>76200</xdr:rowOff>
    </xdr:from>
    <xdr:to>
      <xdr:col>7</xdr:col>
      <xdr:colOff>419100</xdr:colOff>
      <xdr:row>732</xdr:row>
      <xdr:rowOff>76200</xdr:rowOff>
    </xdr:to>
    <xdr:sp macro="" textlink="">
      <xdr:nvSpPr>
        <xdr:cNvPr id="12" name="TextBox 11">
          <a:extLst>
            <a:ext uri="{FF2B5EF4-FFF2-40B4-BE49-F238E27FC236}">
              <a16:creationId xmlns:a16="http://schemas.microsoft.com/office/drawing/2014/main" id="{42DE2138-B67F-51EF-2A61-F9B0FB945523}"/>
            </a:ext>
          </a:extLst>
        </xdr:cNvPr>
        <xdr:cNvSpPr txBox="1"/>
      </xdr:nvSpPr>
      <xdr:spPr>
        <a:xfrm>
          <a:off x="7610475" y="144341850"/>
          <a:ext cx="2057400" cy="129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400">
            <a:solidFill>
              <a:srgbClr val="008000"/>
            </a:solidFill>
          </a:endParaRPr>
        </a:p>
        <a:p>
          <a:r>
            <a:rPr lang="en-AU" sz="1400">
              <a:solidFill>
                <a:srgbClr val="008000"/>
              </a:solidFill>
            </a:rPr>
            <a:t>Green Font means the row is referenced from another worksheet</a:t>
          </a:r>
        </a:p>
        <a:p>
          <a:endParaRPr lang="en-AU" sz="1400">
            <a:solidFill>
              <a:srgbClr val="008000"/>
            </a:solidFill>
          </a:endParaRPr>
        </a:p>
      </xdr:txBody>
    </xdr:sp>
    <xdr:clientData/>
  </xdr:twoCellAnchor>
  <xdr:twoCellAnchor>
    <xdr:from>
      <xdr:col>5</xdr:col>
      <xdr:colOff>0</xdr:colOff>
      <xdr:row>753</xdr:row>
      <xdr:rowOff>0</xdr:rowOff>
    </xdr:from>
    <xdr:to>
      <xdr:col>7</xdr:col>
      <xdr:colOff>304800</xdr:colOff>
      <xdr:row>759</xdr:row>
      <xdr:rowOff>152400</xdr:rowOff>
    </xdr:to>
    <xdr:sp macro="" textlink="">
      <xdr:nvSpPr>
        <xdr:cNvPr id="16" name="TextBox 15">
          <a:extLst>
            <a:ext uri="{FF2B5EF4-FFF2-40B4-BE49-F238E27FC236}">
              <a16:creationId xmlns:a16="http://schemas.microsoft.com/office/drawing/2014/main" id="{BD56F7A8-10EF-45EB-9F96-C563FD234524}"/>
            </a:ext>
          </a:extLst>
        </xdr:cNvPr>
        <xdr:cNvSpPr txBox="1"/>
      </xdr:nvSpPr>
      <xdr:spPr>
        <a:xfrm>
          <a:off x="7496175" y="150285450"/>
          <a:ext cx="2057400" cy="129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400">
            <a:solidFill>
              <a:srgbClr val="008000"/>
            </a:solidFill>
          </a:endParaRPr>
        </a:p>
        <a:p>
          <a:r>
            <a:rPr lang="en-AU" sz="1400">
              <a:solidFill>
                <a:srgbClr val="008000"/>
              </a:solidFill>
            </a:rPr>
            <a:t>Green Font means the row is referenced from another worksheet</a:t>
          </a:r>
        </a:p>
        <a:p>
          <a:endParaRPr lang="en-AU" sz="1400">
            <a:solidFill>
              <a:srgbClr val="008000"/>
            </a:solidFill>
          </a:endParaRPr>
        </a:p>
      </xdr:txBody>
    </xdr:sp>
    <xdr:clientData/>
  </xdr:twoCellAnchor>
  <xdr:twoCellAnchor>
    <xdr:from>
      <xdr:col>5</xdr:col>
      <xdr:colOff>0</xdr:colOff>
      <xdr:row>665</xdr:row>
      <xdr:rowOff>0</xdr:rowOff>
    </xdr:from>
    <xdr:to>
      <xdr:col>7</xdr:col>
      <xdr:colOff>304800</xdr:colOff>
      <xdr:row>673</xdr:row>
      <xdr:rowOff>9525</xdr:rowOff>
    </xdr:to>
    <xdr:sp macro="" textlink="">
      <xdr:nvSpPr>
        <xdr:cNvPr id="18" name="TextBox 17">
          <a:extLst>
            <a:ext uri="{FF2B5EF4-FFF2-40B4-BE49-F238E27FC236}">
              <a16:creationId xmlns:a16="http://schemas.microsoft.com/office/drawing/2014/main" id="{BF7CD4BB-D36E-40FE-922A-78F5EFBE01AC}"/>
            </a:ext>
          </a:extLst>
        </xdr:cNvPr>
        <xdr:cNvSpPr txBox="1"/>
      </xdr:nvSpPr>
      <xdr:spPr>
        <a:xfrm>
          <a:off x="7496175" y="133797675"/>
          <a:ext cx="2057400" cy="129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400">
            <a:solidFill>
              <a:srgbClr val="008000"/>
            </a:solidFill>
          </a:endParaRPr>
        </a:p>
        <a:p>
          <a:r>
            <a:rPr lang="en-AU" sz="1400">
              <a:solidFill>
                <a:srgbClr val="008000"/>
              </a:solidFill>
            </a:rPr>
            <a:t>Green Font means the row is referenced from another worksheet</a:t>
          </a:r>
        </a:p>
        <a:p>
          <a:endParaRPr lang="en-AU" sz="1400">
            <a:solidFill>
              <a:srgbClr val="008000"/>
            </a:solidFill>
          </a:endParaRPr>
        </a:p>
      </xdr:txBody>
    </xdr:sp>
    <xdr:clientData/>
  </xdr:twoCellAnchor>
  <xdr:twoCellAnchor>
    <xdr:from>
      <xdr:col>6</xdr:col>
      <xdr:colOff>0</xdr:colOff>
      <xdr:row>212</xdr:row>
      <xdr:rowOff>0</xdr:rowOff>
    </xdr:from>
    <xdr:to>
      <xdr:col>8</xdr:col>
      <xdr:colOff>304800</xdr:colOff>
      <xdr:row>220</xdr:row>
      <xdr:rowOff>0</xdr:rowOff>
    </xdr:to>
    <xdr:sp macro="" textlink="">
      <xdr:nvSpPr>
        <xdr:cNvPr id="20" name="TextBox 19">
          <a:extLst>
            <a:ext uri="{FF2B5EF4-FFF2-40B4-BE49-F238E27FC236}">
              <a16:creationId xmlns:a16="http://schemas.microsoft.com/office/drawing/2014/main" id="{E45895B7-ADBC-455D-A9A4-219A067E08F1}"/>
            </a:ext>
          </a:extLst>
        </xdr:cNvPr>
        <xdr:cNvSpPr txBox="1"/>
      </xdr:nvSpPr>
      <xdr:spPr>
        <a:xfrm>
          <a:off x="8372475" y="46662975"/>
          <a:ext cx="2057400" cy="129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400">
            <a:solidFill>
              <a:srgbClr val="008000"/>
            </a:solidFill>
          </a:endParaRPr>
        </a:p>
        <a:p>
          <a:r>
            <a:rPr lang="en-AU" sz="1400">
              <a:solidFill>
                <a:srgbClr val="008000"/>
              </a:solidFill>
            </a:rPr>
            <a:t>Green Font means the row is referenced from another worksheet</a:t>
          </a:r>
        </a:p>
        <a:p>
          <a:endParaRPr lang="en-AU" sz="1400">
            <a:solidFill>
              <a:srgbClr val="008000"/>
            </a:solidFill>
          </a:endParaRPr>
        </a:p>
      </xdr:txBody>
    </xdr:sp>
    <xdr:clientData/>
  </xdr:twoCellAnchor>
  <xdr:twoCellAnchor>
    <xdr:from>
      <xdr:col>4</xdr:col>
      <xdr:colOff>695325</xdr:colOff>
      <xdr:row>94</xdr:row>
      <xdr:rowOff>57150</xdr:rowOff>
    </xdr:from>
    <xdr:to>
      <xdr:col>5</xdr:col>
      <xdr:colOff>781050</xdr:colOff>
      <xdr:row>95</xdr:row>
      <xdr:rowOff>247650</xdr:rowOff>
    </xdr:to>
    <xdr:cxnSp macro="">
      <xdr:nvCxnSpPr>
        <xdr:cNvPr id="29" name="Straight Arrow Connector 28">
          <a:extLst>
            <a:ext uri="{FF2B5EF4-FFF2-40B4-BE49-F238E27FC236}">
              <a16:creationId xmlns:a16="http://schemas.microsoft.com/office/drawing/2014/main" id="{EA0C7905-4C5B-F290-F798-57890B27B920}"/>
            </a:ext>
          </a:extLst>
        </xdr:cNvPr>
        <xdr:cNvCxnSpPr/>
      </xdr:nvCxnSpPr>
      <xdr:spPr>
        <a:xfrm flipH="1" flipV="1">
          <a:off x="7315200" y="20840700"/>
          <a:ext cx="962025" cy="390525"/>
        </a:xfrm>
        <a:prstGeom prst="straightConnector1">
          <a:avLst/>
        </a:prstGeom>
        <a:ln>
          <a:solidFill>
            <a:srgbClr val="008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695325</xdr:colOff>
      <xdr:row>95</xdr:row>
      <xdr:rowOff>504825</xdr:rowOff>
    </xdr:from>
    <xdr:to>
      <xdr:col>5</xdr:col>
      <xdr:colOff>704850</xdr:colOff>
      <xdr:row>99</xdr:row>
      <xdr:rowOff>38100</xdr:rowOff>
    </xdr:to>
    <xdr:cxnSp macro="">
      <xdr:nvCxnSpPr>
        <xdr:cNvPr id="31" name="Straight Arrow Connector 30">
          <a:extLst>
            <a:ext uri="{FF2B5EF4-FFF2-40B4-BE49-F238E27FC236}">
              <a16:creationId xmlns:a16="http://schemas.microsoft.com/office/drawing/2014/main" id="{5F48300E-61AE-BC1C-5040-7DA866AD86FD}"/>
            </a:ext>
          </a:extLst>
        </xdr:cNvPr>
        <xdr:cNvCxnSpPr/>
      </xdr:nvCxnSpPr>
      <xdr:spPr>
        <a:xfrm flipH="1">
          <a:off x="7315200" y="21488400"/>
          <a:ext cx="885825" cy="8096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714375</xdr:colOff>
      <xdr:row>95</xdr:row>
      <xdr:rowOff>104775</xdr:rowOff>
    </xdr:from>
    <xdr:to>
      <xdr:col>11</xdr:col>
      <xdr:colOff>673100</xdr:colOff>
      <xdr:row>95</xdr:row>
      <xdr:rowOff>673100</xdr:rowOff>
    </xdr:to>
    <xdr:sp macro="" textlink="">
      <xdr:nvSpPr>
        <xdr:cNvPr id="21" name="TextBox 20">
          <a:extLst>
            <a:ext uri="{FF2B5EF4-FFF2-40B4-BE49-F238E27FC236}">
              <a16:creationId xmlns:a16="http://schemas.microsoft.com/office/drawing/2014/main" id="{494A432B-950C-4ABD-AE18-24798E77246A}"/>
            </a:ext>
          </a:extLst>
        </xdr:cNvPr>
        <xdr:cNvSpPr txBox="1"/>
      </xdr:nvSpPr>
      <xdr:spPr>
        <a:xfrm>
          <a:off x="8210550" y="21088350"/>
          <a:ext cx="5226050" cy="5683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a:solidFill>
                <a:srgbClr val="008000"/>
              </a:solidFill>
            </a:rPr>
            <a:t>Green Font means the row is referenced from another woksheet</a:t>
          </a:r>
        </a:p>
        <a:p>
          <a:r>
            <a:rPr lang="en-AU" sz="1400">
              <a:solidFill>
                <a:srgbClr val="0033CC"/>
              </a:solidFill>
            </a:rPr>
            <a:t>Blue font means a fresh data entry</a:t>
          </a:r>
        </a:p>
      </xdr:txBody>
    </xdr:sp>
    <xdr:clientData/>
  </xdr:twoCellAnchor>
  <xdr:twoCellAnchor>
    <xdr:from>
      <xdr:col>2</xdr:col>
      <xdr:colOff>1073150</xdr:colOff>
      <xdr:row>18</xdr:row>
      <xdr:rowOff>47625</xdr:rowOff>
    </xdr:from>
    <xdr:to>
      <xdr:col>3</xdr:col>
      <xdr:colOff>85725</xdr:colOff>
      <xdr:row>20</xdr:row>
      <xdr:rowOff>25400</xdr:rowOff>
    </xdr:to>
    <xdr:cxnSp macro="">
      <xdr:nvCxnSpPr>
        <xdr:cNvPr id="22" name="Straight Arrow Connector 21">
          <a:extLst>
            <a:ext uri="{FF2B5EF4-FFF2-40B4-BE49-F238E27FC236}">
              <a16:creationId xmlns:a16="http://schemas.microsoft.com/office/drawing/2014/main" id="{56EB08C8-FBB7-40F9-9A4E-A5727C77C21A}"/>
            </a:ext>
          </a:extLst>
        </xdr:cNvPr>
        <xdr:cNvCxnSpPr/>
      </xdr:nvCxnSpPr>
      <xdr:spPr>
        <a:xfrm flipV="1">
          <a:off x="5264150" y="4391025"/>
          <a:ext cx="565150" cy="415925"/>
        </a:xfrm>
        <a:prstGeom prst="straightConnector1">
          <a:avLst/>
        </a:prstGeom>
        <a:ln w="25400" cap="flat" cmpd="sng" algn="ctr">
          <a:solidFill>
            <a:schemeClr val="accent6">
              <a:lumMod val="75000"/>
            </a:schemeClr>
          </a:solidFill>
          <a:prstDash val="dash"/>
          <a:round/>
          <a:headEnd type="none" w="med" len="med"/>
          <a:tailEnd type="stealth" w="lg" len="lg"/>
        </a:ln>
      </xdr:spPr>
      <xdr:style>
        <a:lnRef idx="0">
          <a:scrgbClr r="0" g="0" b="0"/>
        </a:lnRef>
        <a:fillRef idx="0">
          <a:scrgbClr r="0" g="0" b="0"/>
        </a:fillRef>
        <a:effectRef idx="0">
          <a:scrgbClr r="0" g="0" b="0"/>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114300</xdr:colOff>
      <xdr:row>34</xdr:row>
      <xdr:rowOff>63502</xdr:rowOff>
    </xdr:from>
    <xdr:to>
      <xdr:col>4</xdr:col>
      <xdr:colOff>787400</xdr:colOff>
      <xdr:row>43</xdr:row>
      <xdr:rowOff>76200</xdr:rowOff>
    </xdr:to>
    <xdr:graphicFrame macro="">
      <xdr:nvGraphicFramePr>
        <xdr:cNvPr id="2" name="Chart 1">
          <a:extLst>
            <a:ext uri="{FF2B5EF4-FFF2-40B4-BE49-F238E27FC236}">
              <a16:creationId xmlns:a16="http://schemas.microsoft.com/office/drawing/2014/main" id="{0EFD3904-00AE-4310-A930-CA37D68627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619125</xdr:colOff>
      <xdr:row>18</xdr:row>
      <xdr:rowOff>19051</xdr:rowOff>
    </xdr:from>
    <xdr:to>
      <xdr:col>3</xdr:col>
      <xdr:colOff>133351</xdr:colOff>
      <xdr:row>36</xdr:row>
      <xdr:rowOff>133350</xdr:rowOff>
    </xdr:to>
    <xdr:cxnSp macro="">
      <xdr:nvCxnSpPr>
        <xdr:cNvPr id="3" name="Straight Arrow Connector 2">
          <a:extLst>
            <a:ext uri="{FF2B5EF4-FFF2-40B4-BE49-F238E27FC236}">
              <a16:creationId xmlns:a16="http://schemas.microsoft.com/office/drawing/2014/main" id="{C97EF25E-E508-41F2-99C5-C9466585E5CF}"/>
            </a:ext>
          </a:extLst>
        </xdr:cNvPr>
        <xdr:cNvCxnSpPr>
          <a:stCxn id="10" idx="1"/>
        </xdr:cNvCxnSpPr>
      </xdr:nvCxnSpPr>
      <xdr:spPr>
        <a:xfrm flipH="1">
          <a:off x="3524250" y="4362451"/>
          <a:ext cx="2352676" cy="3905249"/>
        </a:xfrm>
        <a:prstGeom prst="straightConnector1">
          <a:avLst/>
        </a:prstGeom>
        <a:ln w="53975">
          <a:solidFill>
            <a:schemeClr val="accent6">
              <a:lumMod val="60000"/>
              <a:lumOff val="4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133351</xdr:colOff>
      <xdr:row>43</xdr:row>
      <xdr:rowOff>161925</xdr:rowOff>
    </xdr:from>
    <xdr:to>
      <xdr:col>1</xdr:col>
      <xdr:colOff>1028700</xdr:colOff>
      <xdr:row>55</xdr:row>
      <xdr:rowOff>25400</xdr:rowOff>
    </xdr:to>
    <xdr:graphicFrame macro="">
      <xdr:nvGraphicFramePr>
        <xdr:cNvPr id="4" name="Chart 3">
          <a:extLst>
            <a:ext uri="{FF2B5EF4-FFF2-40B4-BE49-F238E27FC236}">
              <a16:creationId xmlns:a16="http://schemas.microsoft.com/office/drawing/2014/main" id="{3FFAE0B1-EE57-4F61-9D36-8AEC63B7CF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177800</xdr:colOff>
      <xdr:row>55</xdr:row>
      <xdr:rowOff>133352</xdr:rowOff>
    </xdr:from>
    <xdr:to>
      <xdr:col>1</xdr:col>
      <xdr:colOff>1019175</xdr:colOff>
      <xdr:row>65</xdr:row>
      <xdr:rowOff>66676</xdr:rowOff>
    </xdr:to>
    <xdr:graphicFrame macro="">
      <xdr:nvGraphicFramePr>
        <xdr:cNvPr id="5" name="Chart 4">
          <a:extLst>
            <a:ext uri="{FF2B5EF4-FFF2-40B4-BE49-F238E27FC236}">
              <a16:creationId xmlns:a16="http://schemas.microsoft.com/office/drawing/2014/main" id="{9D18A1F7-E4A7-410B-BA38-6EBF4977BA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114301</xdr:colOff>
      <xdr:row>23</xdr:row>
      <xdr:rowOff>15877</xdr:rowOff>
    </xdr:from>
    <xdr:to>
      <xdr:col>5</xdr:col>
      <xdr:colOff>847725</xdr:colOff>
      <xdr:row>33</xdr:row>
      <xdr:rowOff>133351</xdr:rowOff>
    </xdr:to>
    <xdr:graphicFrame macro="">
      <xdr:nvGraphicFramePr>
        <xdr:cNvPr id="6" name="Chart 3">
          <a:extLst>
            <a:ext uri="{FF2B5EF4-FFF2-40B4-BE49-F238E27FC236}">
              <a16:creationId xmlns:a16="http://schemas.microsoft.com/office/drawing/2014/main" id="{B8E13DD5-2E32-4B43-8D61-B38B127817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1257300</xdr:colOff>
      <xdr:row>74</xdr:row>
      <xdr:rowOff>209551</xdr:rowOff>
    </xdr:from>
    <xdr:to>
      <xdr:col>5</xdr:col>
      <xdr:colOff>781050</xdr:colOff>
      <xdr:row>92</xdr:row>
      <xdr:rowOff>1</xdr:rowOff>
    </xdr:to>
    <xdr:graphicFrame macro="">
      <xdr:nvGraphicFramePr>
        <xdr:cNvPr id="7" name="Chart 2">
          <a:extLst>
            <a:ext uri="{FF2B5EF4-FFF2-40B4-BE49-F238E27FC236}">
              <a16:creationId xmlns:a16="http://schemas.microsoft.com/office/drawing/2014/main" id="{F2DAB7BA-F5FA-465F-8D41-DAF52E1555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133350</xdr:colOff>
      <xdr:row>75</xdr:row>
      <xdr:rowOff>2</xdr:rowOff>
    </xdr:from>
    <xdr:to>
      <xdr:col>1</xdr:col>
      <xdr:colOff>1076325</xdr:colOff>
      <xdr:row>83</xdr:row>
      <xdr:rowOff>177800</xdr:rowOff>
    </xdr:to>
    <xdr:graphicFrame macro="">
      <xdr:nvGraphicFramePr>
        <xdr:cNvPr id="8" name="Chart 2">
          <a:extLst>
            <a:ext uri="{FF2B5EF4-FFF2-40B4-BE49-F238E27FC236}">
              <a16:creationId xmlns:a16="http://schemas.microsoft.com/office/drawing/2014/main" id="{BCF87BEB-8C82-494A-A90F-C7B7CF2B63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133350</xdr:colOff>
      <xdr:row>84</xdr:row>
      <xdr:rowOff>28576</xdr:rowOff>
    </xdr:from>
    <xdr:to>
      <xdr:col>1</xdr:col>
      <xdr:colOff>1047750</xdr:colOff>
      <xdr:row>92</xdr:row>
      <xdr:rowOff>47626</xdr:rowOff>
    </xdr:to>
    <xdr:graphicFrame macro="">
      <xdr:nvGraphicFramePr>
        <xdr:cNvPr id="9" name="Chart 2">
          <a:extLst>
            <a:ext uri="{FF2B5EF4-FFF2-40B4-BE49-F238E27FC236}">
              <a16:creationId xmlns:a16="http://schemas.microsoft.com/office/drawing/2014/main" id="{E11179D4-70F9-43D3-A0ED-60D7EDF55D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133351</xdr:colOff>
      <xdr:row>16</xdr:row>
      <xdr:rowOff>85726</xdr:rowOff>
    </xdr:from>
    <xdr:to>
      <xdr:col>8</xdr:col>
      <xdr:colOff>800101</xdr:colOff>
      <xdr:row>19</xdr:row>
      <xdr:rowOff>76200</xdr:rowOff>
    </xdr:to>
    <xdr:sp macro="" textlink="">
      <xdr:nvSpPr>
        <xdr:cNvPr id="10" name="TextBox 9">
          <a:extLst>
            <a:ext uri="{FF2B5EF4-FFF2-40B4-BE49-F238E27FC236}">
              <a16:creationId xmlns:a16="http://schemas.microsoft.com/office/drawing/2014/main" id="{82FA7F59-4EAF-4A21-AD49-73F6693A6D78}"/>
            </a:ext>
          </a:extLst>
        </xdr:cNvPr>
        <xdr:cNvSpPr txBox="1"/>
      </xdr:nvSpPr>
      <xdr:spPr>
        <a:xfrm>
          <a:off x="5876926" y="4105276"/>
          <a:ext cx="5048250" cy="514349"/>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1200" b="0">
              <a:solidFill>
                <a:schemeClr val="accent6">
                  <a:lumMod val="75000"/>
                </a:schemeClr>
              </a:solidFill>
            </a:rPr>
            <a:t>The "Four Cash Flows"graph illustrates how the mine would bleed cash from</a:t>
          </a:r>
          <a:r>
            <a:rPr lang="en-AU" sz="1200" b="0" baseline="0">
              <a:solidFill>
                <a:schemeClr val="accent6">
                  <a:lumMod val="75000"/>
                </a:schemeClr>
              </a:solidFill>
            </a:rPr>
            <a:t> 2035until 2041 and so not be sustainable</a:t>
          </a:r>
        </a:p>
        <a:p>
          <a:endParaRPr lang="en-AU" sz="1200" b="0" baseline="0">
            <a:solidFill>
              <a:schemeClr val="accent6">
                <a:lumMod val="75000"/>
              </a:schemeClr>
            </a:solidFill>
          </a:endParaRPr>
        </a:p>
        <a:p>
          <a:r>
            <a:rPr lang="en-AU" sz="1200" b="0">
              <a:solidFill>
                <a:schemeClr val="accent6">
                  <a:lumMod val="75000"/>
                </a:schemeClr>
              </a:solidFill>
            </a:rPr>
            <a:t>.</a:t>
          </a:r>
          <a:r>
            <a:rPr lang="en-AU" sz="1200" b="0" baseline="0">
              <a:solidFill>
                <a:schemeClr val="accent6">
                  <a:lumMod val="75000"/>
                </a:schemeClr>
              </a:solidFill>
            </a:rPr>
            <a:t>  </a:t>
          </a:r>
        </a:p>
      </xdr:txBody>
    </xdr:sp>
    <xdr:clientData/>
  </xdr:twoCellAnchor>
  <xdr:twoCellAnchor>
    <xdr:from>
      <xdr:col>1</xdr:col>
      <xdr:colOff>1171576</xdr:colOff>
      <xdr:row>43</xdr:row>
      <xdr:rowOff>170640</xdr:rowOff>
    </xdr:from>
    <xdr:to>
      <xdr:col>5</xdr:col>
      <xdr:colOff>838200</xdr:colOff>
      <xdr:row>55</xdr:row>
      <xdr:rowOff>47626</xdr:rowOff>
    </xdr:to>
    <xdr:graphicFrame macro="">
      <xdr:nvGraphicFramePr>
        <xdr:cNvPr id="11" name="Chart 2">
          <a:extLst>
            <a:ext uri="{FF2B5EF4-FFF2-40B4-BE49-F238E27FC236}">
              <a16:creationId xmlns:a16="http://schemas.microsoft.com/office/drawing/2014/main" id="{55D1D09F-80B4-42ED-8526-16DF658E03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133350</xdr:colOff>
      <xdr:row>65</xdr:row>
      <xdr:rowOff>158752</xdr:rowOff>
    </xdr:from>
    <xdr:to>
      <xdr:col>1</xdr:col>
      <xdr:colOff>1066800</xdr:colOff>
      <xdr:row>74</xdr:row>
      <xdr:rowOff>171451</xdr:rowOff>
    </xdr:to>
    <xdr:graphicFrame macro="">
      <xdr:nvGraphicFramePr>
        <xdr:cNvPr id="12" name="Chart 4">
          <a:extLst>
            <a:ext uri="{FF2B5EF4-FFF2-40B4-BE49-F238E27FC236}">
              <a16:creationId xmlns:a16="http://schemas.microsoft.com/office/drawing/2014/main" id="{E6D35945-AB6C-4B3A-BA9C-DDAD891CE13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1238250</xdr:colOff>
      <xdr:row>65</xdr:row>
      <xdr:rowOff>161925</xdr:rowOff>
    </xdr:from>
    <xdr:to>
      <xdr:col>5</xdr:col>
      <xdr:colOff>847725</xdr:colOff>
      <xdr:row>74</xdr:row>
      <xdr:rowOff>152400</xdr:rowOff>
    </xdr:to>
    <xdr:graphicFrame macro="">
      <xdr:nvGraphicFramePr>
        <xdr:cNvPr id="13" name="Chart 2">
          <a:extLst>
            <a:ext uri="{FF2B5EF4-FFF2-40B4-BE49-F238E27FC236}">
              <a16:creationId xmlns:a16="http://schemas.microsoft.com/office/drawing/2014/main" id="{0D6BF8CE-1F73-43F8-9160-7D5F0072DA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1206500</xdr:colOff>
      <xdr:row>55</xdr:row>
      <xdr:rowOff>101601</xdr:rowOff>
    </xdr:from>
    <xdr:to>
      <xdr:col>5</xdr:col>
      <xdr:colOff>828675</xdr:colOff>
      <xdr:row>65</xdr:row>
      <xdr:rowOff>57151</xdr:rowOff>
    </xdr:to>
    <xdr:graphicFrame macro="">
      <xdr:nvGraphicFramePr>
        <xdr:cNvPr id="14" name="Chart 4">
          <a:extLst>
            <a:ext uri="{FF2B5EF4-FFF2-40B4-BE49-F238E27FC236}">
              <a16:creationId xmlns:a16="http://schemas.microsoft.com/office/drawing/2014/main" id="{7C034494-9DD5-4E35-AC18-1078F78C3A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295910</xdr:colOff>
      <xdr:row>206</xdr:row>
      <xdr:rowOff>419101</xdr:rowOff>
    </xdr:from>
    <xdr:to>
      <xdr:col>10</xdr:col>
      <xdr:colOff>371475</xdr:colOff>
      <xdr:row>207</xdr:row>
      <xdr:rowOff>1562101</xdr:rowOff>
    </xdr:to>
    <xdr:sp macro="" textlink="">
      <xdr:nvSpPr>
        <xdr:cNvPr id="15" name="TextBox 14">
          <a:extLst>
            <a:ext uri="{FF2B5EF4-FFF2-40B4-BE49-F238E27FC236}">
              <a16:creationId xmlns:a16="http://schemas.microsoft.com/office/drawing/2014/main" id="{39AE1919-5213-460A-A799-24E3514F88E5}"/>
            </a:ext>
          </a:extLst>
        </xdr:cNvPr>
        <xdr:cNvSpPr txBox="1"/>
      </xdr:nvSpPr>
      <xdr:spPr>
        <a:xfrm>
          <a:off x="292735" y="43681651"/>
          <a:ext cx="11953240" cy="1790700"/>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1100" b="1">
              <a:solidFill>
                <a:schemeClr val="accent6">
                  <a:lumMod val="75000"/>
                </a:schemeClr>
              </a:solidFill>
            </a:rPr>
            <a:t>You have a choice of how to compute revenue:</a:t>
          </a:r>
        </a:p>
        <a:p>
          <a:r>
            <a:rPr lang="en-AU" sz="1100" b="1">
              <a:solidFill>
                <a:schemeClr val="accent6">
                  <a:lumMod val="75000"/>
                </a:schemeClr>
              </a:solidFill>
            </a:rPr>
            <a:t>Method 1</a:t>
          </a:r>
          <a:r>
            <a:rPr lang="en-AU" sz="1100" b="0" baseline="0">
              <a:solidFill>
                <a:schemeClr val="accent6">
                  <a:lumMod val="75000"/>
                </a:schemeClr>
              </a:solidFill>
            </a:rPr>
            <a:t> typically is used by some 'merchant bankers' and people with limited hands-on operational experience.  I have seen a number of major errors go undetected.   The revenue is computed inside  enormous algorithms so tracing back and auditing is dreadfully slow and apinful.  The value of contained metals,  the deductions, the TC and RC's, the penalties/premiums and possibly the transport costs are computed as a series of subtotals or occasionally (and absolutely stupidly) it is computed in one or two monstrous algorithms.   Any errors - which are so easy to make -  get lhidden.  This method is favoured by people who are very confident in their abilities with Excel and love big complex algorithms.  They are in too much of a rush to do things properly.   (They go home proud of their 'trophy' models - not realising this is no longer acceptable practice)</a:t>
          </a:r>
        </a:p>
        <a:p>
          <a:r>
            <a:rPr lang="en-AU" sz="1100" b="1">
              <a:solidFill>
                <a:schemeClr val="accent6">
                  <a:lumMod val="75000"/>
                </a:schemeClr>
              </a:solidFill>
            </a:rPr>
            <a:t>Method 2</a:t>
          </a:r>
          <a:r>
            <a:rPr lang="en-AU" sz="1100" b="0">
              <a:solidFill>
                <a:schemeClr val="accent6">
                  <a:lumMod val="75000"/>
                </a:schemeClr>
              </a:solidFill>
            </a:rPr>
            <a:t> is illustrated below.  First compute the price</a:t>
          </a:r>
          <a:r>
            <a:rPr lang="en-AU" sz="1100" b="0" baseline="0">
              <a:solidFill>
                <a:schemeClr val="accent6">
                  <a:lumMod val="75000"/>
                </a:schemeClr>
              </a:solidFill>
            </a:rPr>
            <a:t> of each tonne of concentrate in visible small steps so you and others can immediately recognise any errors and the price can be sense tested.  Then multiply the price by the tonnes sold.  Everything is transparent and easy to follow.  </a:t>
          </a:r>
        </a:p>
        <a:p>
          <a:r>
            <a:rPr lang="en-AU" sz="1100" b="1" baseline="0">
              <a:solidFill>
                <a:schemeClr val="accent6">
                  <a:lumMod val="75000"/>
                </a:schemeClr>
              </a:solidFill>
            </a:rPr>
            <a:t>Transport of Concentrate Costs: </a:t>
          </a:r>
          <a:r>
            <a:rPr lang="en-AU" sz="1100" b="0" baseline="0">
              <a:solidFill>
                <a:schemeClr val="accent6">
                  <a:lumMod val="75000"/>
                </a:schemeClr>
              </a:solidFill>
            </a:rPr>
            <a:t>In this worked example the cost of transporting concentrate to point of sale is in the operating costs, but if you prefer you can move it up here to the Revenue cashstream.</a:t>
          </a:r>
          <a:endParaRPr lang="en-AU" sz="1100" b="0">
            <a:solidFill>
              <a:schemeClr val="accent6">
                <a:lumMod val="75000"/>
              </a:schemeClr>
            </a:solidFill>
          </a:endParaRPr>
        </a:p>
      </xdr:txBody>
    </xdr:sp>
    <xdr:clientData/>
  </xdr:twoCellAnchor>
  <xdr:twoCellAnchor>
    <xdr:from>
      <xdr:col>0</xdr:col>
      <xdr:colOff>82550</xdr:colOff>
      <xdr:row>23</xdr:row>
      <xdr:rowOff>1</xdr:rowOff>
    </xdr:from>
    <xdr:to>
      <xdr:col>1</xdr:col>
      <xdr:colOff>1254125</xdr:colOff>
      <xdr:row>33</xdr:row>
      <xdr:rowOff>133351</xdr:rowOff>
    </xdr:to>
    <xdr:graphicFrame macro="">
      <xdr:nvGraphicFramePr>
        <xdr:cNvPr id="16" name="Chart 3">
          <a:extLst>
            <a:ext uri="{FF2B5EF4-FFF2-40B4-BE49-F238E27FC236}">
              <a16:creationId xmlns:a16="http://schemas.microsoft.com/office/drawing/2014/main" id="{F48624B1-FD20-480A-8F9D-B2F049CAB3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187325</xdr:colOff>
      <xdr:row>372</xdr:row>
      <xdr:rowOff>142875</xdr:rowOff>
    </xdr:from>
    <xdr:to>
      <xdr:col>7</xdr:col>
      <xdr:colOff>95250</xdr:colOff>
      <xdr:row>377</xdr:row>
      <xdr:rowOff>6350</xdr:rowOff>
    </xdr:to>
    <xdr:sp macro="" textlink="">
      <xdr:nvSpPr>
        <xdr:cNvPr id="17" name="TextBox 16">
          <a:extLst>
            <a:ext uri="{FF2B5EF4-FFF2-40B4-BE49-F238E27FC236}">
              <a16:creationId xmlns:a16="http://schemas.microsoft.com/office/drawing/2014/main" id="{029251F2-9E3E-49D1-B7D1-591632500282}"/>
            </a:ext>
          </a:extLst>
        </xdr:cNvPr>
        <xdr:cNvSpPr txBox="1"/>
      </xdr:nvSpPr>
      <xdr:spPr>
        <a:xfrm>
          <a:off x="7683500" y="77692250"/>
          <a:ext cx="1660525" cy="727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solidFill>
                <a:schemeClr val="accent6">
                  <a:lumMod val="75000"/>
                </a:schemeClr>
              </a:solidFill>
            </a:rPr>
            <a:t>Italics</a:t>
          </a:r>
          <a:r>
            <a:rPr lang="en-AU" sz="1100" baseline="0">
              <a:solidFill>
                <a:schemeClr val="accent6">
                  <a:lumMod val="75000"/>
                </a:schemeClr>
              </a:solidFill>
            </a:rPr>
            <a:t> for Nominal $</a:t>
          </a:r>
        </a:p>
        <a:p>
          <a:endParaRPr lang="en-AU" sz="1100" baseline="0">
            <a:solidFill>
              <a:schemeClr val="accent6">
                <a:lumMod val="75000"/>
              </a:schemeClr>
            </a:solidFill>
          </a:endParaRPr>
        </a:p>
        <a:p>
          <a:r>
            <a:rPr lang="en-AU" sz="1100" baseline="0">
              <a:solidFill>
                <a:schemeClr val="accent6">
                  <a:lumMod val="75000"/>
                </a:schemeClr>
              </a:solidFill>
            </a:rPr>
            <a:t>Vertical for Real $</a:t>
          </a:r>
          <a:endParaRPr lang="en-AU" sz="1100">
            <a:solidFill>
              <a:schemeClr val="accent6">
                <a:lumMod val="75000"/>
              </a:schemeClr>
            </a:solidFill>
          </a:endParaRPr>
        </a:p>
      </xdr:txBody>
    </xdr:sp>
    <xdr:clientData/>
  </xdr:twoCellAnchor>
  <xdr:twoCellAnchor>
    <xdr:from>
      <xdr:col>5</xdr:col>
      <xdr:colOff>114300</xdr:colOff>
      <xdr:row>724</xdr:row>
      <xdr:rowOff>76200</xdr:rowOff>
    </xdr:from>
    <xdr:to>
      <xdr:col>7</xdr:col>
      <xdr:colOff>419100</xdr:colOff>
      <xdr:row>732</xdr:row>
      <xdr:rowOff>76200</xdr:rowOff>
    </xdr:to>
    <xdr:sp macro="" textlink="">
      <xdr:nvSpPr>
        <xdr:cNvPr id="18" name="TextBox 17">
          <a:extLst>
            <a:ext uri="{FF2B5EF4-FFF2-40B4-BE49-F238E27FC236}">
              <a16:creationId xmlns:a16="http://schemas.microsoft.com/office/drawing/2014/main" id="{DE05F9FD-9490-46ED-94D1-8857A2E3BE5B}"/>
            </a:ext>
          </a:extLst>
        </xdr:cNvPr>
        <xdr:cNvSpPr txBox="1"/>
      </xdr:nvSpPr>
      <xdr:spPr>
        <a:xfrm>
          <a:off x="7610475" y="144141825"/>
          <a:ext cx="2057400" cy="129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400">
            <a:solidFill>
              <a:srgbClr val="008000"/>
            </a:solidFill>
          </a:endParaRPr>
        </a:p>
        <a:p>
          <a:r>
            <a:rPr lang="en-AU" sz="1400">
              <a:solidFill>
                <a:srgbClr val="008000"/>
              </a:solidFill>
            </a:rPr>
            <a:t>Green Font means the row is referenced from another worksheet</a:t>
          </a:r>
        </a:p>
        <a:p>
          <a:endParaRPr lang="en-AU" sz="1400">
            <a:solidFill>
              <a:srgbClr val="008000"/>
            </a:solidFill>
          </a:endParaRPr>
        </a:p>
      </xdr:txBody>
    </xdr:sp>
    <xdr:clientData/>
  </xdr:twoCellAnchor>
  <xdr:twoCellAnchor>
    <xdr:from>
      <xdr:col>5</xdr:col>
      <xdr:colOff>0</xdr:colOff>
      <xdr:row>753</xdr:row>
      <xdr:rowOff>0</xdr:rowOff>
    </xdr:from>
    <xdr:to>
      <xdr:col>7</xdr:col>
      <xdr:colOff>304800</xdr:colOff>
      <xdr:row>759</xdr:row>
      <xdr:rowOff>152400</xdr:rowOff>
    </xdr:to>
    <xdr:sp macro="" textlink="">
      <xdr:nvSpPr>
        <xdr:cNvPr id="19" name="TextBox 18">
          <a:extLst>
            <a:ext uri="{FF2B5EF4-FFF2-40B4-BE49-F238E27FC236}">
              <a16:creationId xmlns:a16="http://schemas.microsoft.com/office/drawing/2014/main" id="{10471A58-84E0-4B7D-982A-2BBE04885BD2}"/>
            </a:ext>
          </a:extLst>
        </xdr:cNvPr>
        <xdr:cNvSpPr txBox="1"/>
      </xdr:nvSpPr>
      <xdr:spPr>
        <a:xfrm>
          <a:off x="7496175" y="150085425"/>
          <a:ext cx="2057400" cy="129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400">
            <a:solidFill>
              <a:srgbClr val="008000"/>
            </a:solidFill>
          </a:endParaRPr>
        </a:p>
        <a:p>
          <a:r>
            <a:rPr lang="en-AU" sz="1400">
              <a:solidFill>
                <a:srgbClr val="008000"/>
              </a:solidFill>
            </a:rPr>
            <a:t>Green Font means the row is referenced from another worksheet</a:t>
          </a:r>
        </a:p>
        <a:p>
          <a:endParaRPr lang="en-AU" sz="1400">
            <a:solidFill>
              <a:srgbClr val="008000"/>
            </a:solidFill>
          </a:endParaRPr>
        </a:p>
      </xdr:txBody>
    </xdr:sp>
    <xdr:clientData/>
  </xdr:twoCellAnchor>
  <xdr:twoCellAnchor>
    <xdr:from>
      <xdr:col>5</xdr:col>
      <xdr:colOff>0</xdr:colOff>
      <xdr:row>665</xdr:row>
      <xdr:rowOff>0</xdr:rowOff>
    </xdr:from>
    <xdr:to>
      <xdr:col>7</xdr:col>
      <xdr:colOff>304800</xdr:colOff>
      <xdr:row>673</xdr:row>
      <xdr:rowOff>9525</xdr:rowOff>
    </xdr:to>
    <xdr:sp macro="" textlink="">
      <xdr:nvSpPr>
        <xdr:cNvPr id="20" name="TextBox 19">
          <a:extLst>
            <a:ext uri="{FF2B5EF4-FFF2-40B4-BE49-F238E27FC236}">
              <a16:creationId xmlns:a16="http://schemas.microsoft.com/office/drawing/2014/main" id="{BF75964B-900C-4C32-97DB-32C96776E989}"/>
            </a:ext>
          </a:extLst>
        </xdr:cNvPr>
        <xdr:cNvSpPr txBox="1"/>
      </xdr:nvSpPr>
      <xdr:spPr>
        <a:xfrm>
          <a:off x="7496175" y="133597650"/>
          <a:ext cx="2057400" cy="1292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400">
            <a:solidFill>
              <a:srgbClr val="008000"/>
            </a:solidFill>
          </a:endParaRPr>
        </a:p>
        <a:p>
          <a:r>
            <a:rPr lang="en-AU" sz="1400">
              <a:solidFill>
                <a:srgbClr val="008000"/>
              </a:solidFill>
            </a:rPr>
            <a:t>Green Font means the row is referenced from another worksheet</a:t>
          </a:r>
        </a:p>
        <a:p>
          <a:endParaRPr lang="en-AU" sz="1400">
            <a:solidFill>
              <a:srgbClr val="008000"/>
            </a:solidFill>
          </a:endParaRPr>
        </a:p>
      </xdr:txBody>
    </xdr:sp>
    <xdr:clientData/>
  </xdr:twoCellAnchor>
  <xdr:twoCellAnchor>
    <xdr:from>
      <xdr:col>6</xdr:col>
      <xdr:colOff>0</xdr:colOff>
      <xdr:row>212</xdr:row>
      <xdr:rowOff>0</xdr:rowOff>
    </xdr:from>
    <xdr:to>
      <xdr:col>8</xdr:col>
      <xdr:colOff>304800</xdr:colOff>
      <xdr:row>220</xdr:row>
      <xdr:rowOff>0</xdr:rowOff>
    </xdr:to>
    <xdr:sp macro="" textlink="">
      <xdr:nvSpPr>
        <xdr:cNvPr id="21" name="TextBox 20">
          <a:extLst>
            <a:ext uri="{FF2B5EF4-FFF2-40B4-BE49-F238E27FC236}">
              <a16:creationId xmlns:a16="http://schemas.microsoft.com/office/drawing/2014/main" id="{1C59F87E-992B-457F-8EC1-774D02901B72}"/>
            </a:ext>
          </a:extLst>
        </xdr:cNvPr>
        <xdr:cNvSpPr txBox="1"/>
      </xdr:nvSpPr>
      <xdr:spPr>
        <a:xfrm>
          <a:off x="8372475" y="46462950"/>
          <a:ext cx="2057400" cy="129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400">
            <a:solidFill>
              <a:srgbClr val="008000"/>
            </a:solidFill>
          </a:endParaRPr>
        </a:p>
        <a:p>
          <a:r>
            <a:rPr lang="en-AU" sz="1400">
              <a:solidFill>
                <a:srgbClr val="008000"/>
              </a:solidFill>
            </a:rPr>
            <a:t>Green Font means the row is referenced from another worksheet</a:t>
          </a:r>
        </a:p>
        <a:p>
          <a:endParaRPr lang="en-AU" sz="1400">
            <a:solidFill>
              <a:srgbClr val="008000"/>
            </a:solidFill>
          </a:endParaRPr>
        </a:p>
      </xdr:txBody>
    </xdr:sp>
    <xdr:clientData/>
  </xdr:twoCellAnchor>
  <xdr:twoCellAnchor>
    <xdr:from>
      <xdr:col>4</xdr:col>
      <xdr:colOff>695325</xdr:colOff>
      <xdr:row>94</xdr:row>
      <xdr:rowOff>57150</xdr:rowOff>
    </xdr:from>
    <xdr:to>
      <xdr:col>5</xdr:col>
      <xdr:colOff>781050</xdr:colOff>
      <xdr:row>95</xdr:row>
      <xdr:rowOff>247650</xdr:rowOff>
    </xdr:to>
    <xdr:cxnSp macro="">
      <xdr:nvCxnSpPr>
        <xdr:cNvPr id="22" name="Straight Arrow Connector 21">
          <a:extLst>
            <a:ext uri="{FF2B5EF4-FFF2-40B4-BE49-F238E27FC236}">
              <a16:creationId xmlns:a16="http://schemas.microsoft.com/office/drawing/2014/main" id="{0926E973-1A08-4D96-BB39-643CA571127E}"/>
            </a:ext>
          </a:extLst>
        </xdr:cNvPr>
        <xdr:cNvCxnSpPr/>
      </xdr:nvCxnSpPr>
      <xdr:spPr>
        <a:xfrm flipH="1" flipV="1">
          <a:off x="7312025" y="20840700"/>
          <a:ext cx="965200" cy="390525"/>
        </a:xfrm>
        <a:prstGeom prst="straightConnector1">
          <a:avLst/>
        </a:prstGeom>
        <a:ln>
          <a:solidFill>
            <a:srgbClr val="008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581025</xdr:colOff>
      <xdr:row>95</xdr:row>
      <xdr:rowOff>501650</xdr:rowOff>
    </xdr:from>
    <xdr:to>
      <xdr:col>5</xdr:col>
      <xdr:colOff>704850</xdr:colOff>
      <xdr:row>97</xdr:row>
      <xdr:rowOff>38100</xdr:rowOff>
    </xdr:to>
    <xdr:cxnSp macro="">
      <xdr:nvCxnSpPr>
        <xdr:cNvPr id="23" name="Straight Arrow Connector 22">
          <a:extLst>
            <a:ext uri="{FF2B5EF4-FFF2-40B4-BE49-F238E27FC236}">
              <a16:creationId xmlns:a16="http://schemas.microsoft.com/office/drawing/2014/main" id="{C6168327-F979-46AB-A897-0C72F34C408B}"/>
            </a:ext>
          </a:extLst>
        </xdr:cNvPr>
        <xdr:cNvCxnSpPr/>
      </xdr:nvCxnSpPr>
      <xdr:spPr>
        <a:xfrm flipH="1">
          <a:off x="7200900" y="21485225"/>
          <a:ext cx="1000125" cy="4508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711200</xdr:colOff>
      <xdr:row>95</xdr:row>
      <xdr:rowOff>101600</xdr:rowOff>
    </xdr:from>
    <xdr:to>
      <xdr:col>11</xdr:col>
      <xdr:colOff>676275</xdr:colOff>
      <xdr:row>96</xdr:row>
      <xdr:rowOff>228600</xdr:rowOff>
    </xdr:to>
    <xdr:sp macro="" textlink="">
      <xdr:nvSpPr>
        <xdr:cNvPr id="24" name="TextBox 23">
          <a:extLst>
            <a:ext uri="{FF2B5EF4-FFF2-40B4-BE49-F238E27FC236}">
              <a16:creationId xmlns:a16="http://schemas.microsoft.com/office/drawing/2014/main" id="{D1137029-550B-4AEA-9F8E-282BECB04DEF}"/>
            </a:ext>
          </a:extLst>
        </xdr:cNvPr>
        <xdr:cNvSpPr txBox="1"/>
      </xdr:nvSpPr>
      <xdr:spPr>
        <a:xfrm>
          <a:off x="8207375" y="21085175"/>
          <a:ext cx="5232400" cy="803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a:solidFill>
                <a:srgbClr val="008000"/>
              </a:solidFill>
            </a:rPr>
            <a:t>Green Font means the row is referenced from another woksheet</a:t>
          </a:r>
        </a:p>
        <a:p>
          <a:r>
            <a:rPr lang="en-AU" sz="1400">
              <a:solidFill>
                <a:srgbClr val="0033CC"/>
              </a:solidFill>
            </a:rPr>
            <a:t>Blue font means a fresh data entry</a:t>
          </a:r>
        </a:p>
        <a:p>
          <a:r>
            <a:rPr lang="en-AU" sz="1400">
              <a:solidFill>
                <a:sysClr val="windowText" lastClr="000000"/>
              </a:solidFill>
            </a:rPr>
            <a:t>Yellow background  highlights changes from the mid case</a:t>
          </a:r>
        </a:p>
      </xdr:txBody>
    </xdr:sp>
    <xdr:clientData/>
  </xdr:twoCellAnchor>
  <xdr:twoCellAnchor>
    <xdr:from>
      <xdr:col>3</xdr:col>
      <xdr:colOff>819150</xdr:colOff>
      <xdr:row>96</xdr:row>
      <xdr:rowOff>38100</xdr:rowOff>
    </xdr:from>
    <xdr:to>
      <xdr:col>5</xdr:col>
      <xdr:colOff>800100</xdr:colOff>
      <xdr:row>99</xdr:row>
      <xdr:rowOff>114300</xdr:rowOff>
    </xdr:to>
    <xdr:cxnSp macro="">
      <xdr:nvCxnSpPr>
        <xdr:cNvPr id="26" name="Straight Arrow Connector 25">
          <a:extLst>
            <a:ext uri="{FF2B5EF4-FFF2-40B4-BE49-F238E27FC236}">
              <a16:creationId xmlns:a16="http://schemas.microsoft.com/office/drawing/2014/main" id="{549398C1-F405-4E2B-BD0C-F0BAB60EAF8E}"/>
            </a:ext>
          </a:extLst>
        </xdr:cNvPr>
        <xdr:cNvCxnSpPr/>
      </xdr:nvCxnSpPr>
      <xdr:spPr>
        <a:xfrm flipH="1">
          <a:off x="6562725" y="21697950"/>
          <a:ext cx="1733550" cy="67627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114300</xdr:colOff>
      <xdr:row>34</xdr:row>
      <xdr:rowOff>63502</xdr:rowOff>
    </xdr:from>
    <xdr:to>
      <xdr:col>4</xdr:col>
      <xdr:colOff>787400</xdr:colOff>
      <xdr:row>43</xdr:row>
      <xdr:rowOff>76200</xdr:rowOff>
    </xdr:to>
    <xdr:graphicFrame macro="">
      <xdr:nvGraphicFramePr>
        <xdr:cNvPr id="2" name="Chart 1">
          <a:extLst>
            <a:ext uri="{FF2B5EF4-FFF2-40B4-BE49-F238E27FC236}">
              <a16:creationId xmlns:a16="http://schemas.microsoft.com/office/drawing/2014/main" id="{BBF191AF-DDFA-422E-9285-332F8F0C6E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619125</xdr:colOff>
      <xdr:row>17</xdr:row>
      <xdr:rowOff>55562</xdr:rowOff>
    </xdr:from>
    <xdr:to>
      <xdr:col>3</xdr:col>
      <xdr:colOff>133351</xdr:colOff>
      <xdr:row>36</xdr:row>
      <xdr:rowOff>133350</xdr:rowOff>
    </xdr:to>
    <xdr:cxnSp macro="">
      <xdr:nvCxnSpPr>
        <xdr:cNvPr id="3" name="Straight Arrow Connector 2">
          <a:extLst>
            <a:ext uri="{FF2B5EF4-FFF2-40B4-BE49-F238E27FC236}">
              <a16:creationId xmlns:a16="http://schemas.microsoft.com/office/drawing/2014/main" id="{71662482-3DC3-4277-86F6-2663731D9B67}"/>
            </a:ext>
          </a:extLst>
        </xdr:cNvPr>
        <xdr:cNvCxnSpPr>
          <a:stCxn id="10" idx="1"/>
        </xdr:cNvCxnSpPr>
      </xdr:nvCxnSpPr>
      <xdr:spPr>
        <a:xfrm flipH="1">
          <a:off x="3524250" y="4237037"/>
          <a:ext cx="2352676" cy="4030663"/>
        </a:xfrm>
        <a:prstGeom prst="straightConnector1">
          <a:avLst/>
        </a:prstGeom>
        <a:ln w="53975">
          <a:solidFill>
            <a:schemeClr val="accent6">
              <a:lumMod val="60000"/>
              <a:lumOff val="40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133351</xdr:colOff>
      <xdr:row>43</xdr:row>
      <xdr:rowOff>161925</xdr:rowOff>
    </xdr:from>
    <xdr:to>
      <xdr:col>1</xdr:col>
      <xdr:colOff>1028700</xdr:colOff>
      <xdr:row>55</xdr:row>
      <xdr:rowOff>25400</xdr:rowOff>
    </xdr:to>
    <xdr:graphicFrame macro="">
      <xdr:nvGraphicFramePr>
        <xdr:cNvPr id="4" name="Chart 3">
          <a:extLst>
            <a:ext uri="{FF2B5EF4-FFF2-40B4-BE49-F238E27FC236}">
              <a16:creationId xmlns:a16="http://schemas.microsoft.com/office/drawing/2014/main" id="{5DC2EE08-FF56-4DEB-8D5D-11F3A30F5F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177800</xdr:colOff>
      <xdr:row>55</xdr:row>
      <xdr:rowOff>133352</xdr:rowOff>
    </xdr:from>
    <xdr:to>
      <xdr:col>1</xdr:col>
      <xdr:colOff>1019175</xdr:colOff>
      <xdr:row>65</xdr:row>
      <xdr:rowOff>66676</xdr:rowOff>
    </xdr:to>
    <xdr:graphicFrame macro="">
      <xdr:nvGraphicFramePr>
        <xdr:cNvPr id="5" name="Chart 4">
          <a:extLst>
            <a:ext uri="{FF2B5EF4-FFF2-40B4-BE49-F238E27FC236}">
              <a16:creationId xmlns:a16="http://schemas.microsoft.com/office/drawing/2014/main" id="{3B552FCE-BF51-4C61-85AB-43CC93DB64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114301</xdr:colOff>
      <xdr:row>23</xdr:row>
      <xdr:rowOff>15877</xdr:rowOff>
    </xdr:from>
    <xdr:to>
      <xdr:col>5</xdr:col>
      <xdr:colOff>847725</xdr:colOff>
      <xdr:row>33</xdr:row>
      <xdr:rowOff>133351</xdr:rowOff>
    </xdr:to>
    <xdr:graphicFrame macro="">
      <xdr:nvGraphicFramePr>
        <xdr:cNvPr id="6" name="Chart 3">
          <a:extLst>
            <a:ext uri="{FF2B5EF4-FFF2-40B4-BE49-F238E27FC236}">
              <a16:creationId xmlns:a16="http://schemas.microsoft.com/office/drawing/2014/main" id="{DB6678AF-1972-4B04-BA41-1C0156AC63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1257300</xdr:colOff>
      <xdr:row>74</xdr:row>
      <xdr:rowOff>209551</xdr:rowOff>
    </xdr:from>
    <xdr:to>
      <xdr:col>5</xdr:col>
      <xdr:colOff>781050</xdr:colOff>
      <xdr:row>92</xdr:row>
      <xdr:rowOff>1</xdr:rowOff>
    </xdr:to>
    <xdr:graphicFrame macro="">
      <xdr:nvGraphicFramePr>
        <xdr:cNvPr id="7" name="Chart 2">
          <a:extLst>
            <a:ext uri="{FF2B5EF4-FFF2-40B4-BE49-F238E27FC236}">
              <a16:creationId xmlns:a16="http://schemas.microsoft.com/office/drawing/2014/main" id="{0BEAA313-9C3E-4C68-B259-CEC367E844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133350</xdr:colOff>
      <xdr:row>75</xdr:row>
      <xdr:rowOff>2</xdr:rowOff>
    </xdr:from>
    <xdr:to>
      <xdr:col>1</xdr:col>
      <xdr:colOff>1076325</xdr:colOff>
      <xdr:row>83</xdr:row>
      <xdr:rowOff>177800</xdr:rowOff>
    </xdr:to>
    <xdr:graphicFrame macro="">
      <xdr:nvGraphicFramePr>
        <xdr:cNvPr id="8" name="Chart 2">
          <a:extLst>
            <a:ext uri="{FF2B5EF4-FFF2-40B4-BE49-F238E27FC236}">
              <a16:creationId xmlns:a16="http://schemas.microsoft.com/office/drawing/2014/main" id="{358AC0C6-46CB-42C5-958C-584304B8C9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133350</xdr:colOff>
      <xdr:row>84</xdr:row>
      <xdr:rowOff>28576</xdr:rowOff>
    </xdr:from>
    <xdr:to>
      <xdr:col>1</xdr:col>
      <xdr:colOff>1047750</xdr:colOff>
      <xdr:row>92</xdr:row>
      <xdr:rowOff>47626</xdr:rowOff>
    </xdr:to>
    <xdr:graphicFrame macro="">
      <xdr:nvGraphicFramePr>
        <xdr:cNvPr id="9" name="Chart 2">
          <a:extLst>
            <a:ext uri="{FF2B5EF4-FFF2-40B4-BE49-F238E27FC236}">
              <a16:creationId xmlns:a16="http://schemas.microsoft.com/office/drawing/2014/main" id="{7B3A9371-9B51-4162-9C0D-457C3C04E5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133351</xdr:colOff>
      <xdr:row>14</xdr:row>
      <xdr:rowOff>25399</xdr:rowOff>
    </xdr:from>
    <xdr:to>
      <xdr:col>8</xdr:col>
      <xdr:colOff>800101</xdr:colOff>
      <xdr:row>20</xdr:row>
      <xdr:rowOff>9524</xdr:rowOff>
    </xdr:to>
    <xdr:sp macro="" textlink="">
      <xdr:nvSpPr>
        <xdr:cNvPr id="10" name="TextBox 9">
          <a:extLst>
            <a:ext uri="{FF2B5EF4-FFF2-40B4-BE49-F238E27FC236}">
              <a16:creationId xmlns:a16="http://schemas.microsoft.com/office/drawing/2014/main" id="{4AF2BA93-E399-4A4B-8CA0-D304B80345AB}"/>
            </a:ext>
          </a:extLst>
        </xdr:cNvPr>
        <xdr:cNvSpPr txBox="1"/>
      </xdr:nvSpPr>
      <xdr:spPr>
        <a:xfrm>
          <a:off x="5876926" y="3721099"/>
          <a:ext cx="5048250" cy="1031875"/>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1200" b="0">
              <a:solidFill>
                <a:schemeClr val="accent6">
                  <a:lumMod val="75000"/>
                </a:schemeClr>
              </a:solidFill>
            </a:rPr>
            <a:t>In this high case only the price forecasts are increased and the forex is correspondingly worsen/increased.</a:t>
          </a:r>
        </a:p>
        <a:p>
          <a:endParaRPr lang="en-AU" sz="1200" b="0">
            <a:solidFill>
              <a:schemeClr val="accent6">
                <a:lumMod val="75000"/>
              </a:schemeClr>
            </a:solidFill>
          </a:endParaRPr>
        </a:p>
        <a:p>
          <a:r>
            <a:rPr lang="en-AU" sz="1200" b="0">
              <a:solidFill>
                <a:schemeClr val="accent6">
                  <a:lumMod val="75000"/>
                </a:schemeClr>
              </a:solidFill>
            </a:rPr>
            <a:t>The "Four Cash Flows" illustrates</a:t>
          </a:r>
          <a:r>
            <a:rPr lang="en-AU" sz="1200" b="0" baseline="0">
              <a:solidFill>
                <a:schemeClr val="accent6">
                  <a:lumMod val="75000"/>
                </a:schemeClr>
              </a:solidFill>
            </a:rPr>
            <a:t> the upside possibility in the high case so must be tempered against the low case  </a:t>
          </a:r>
        </a:p>
      </xdr:txBody>
    </xdr:sp>
    <xdr:clientData/>
  </xdr:twoCellAnchor>
  <xdr:twoCellAnchor>
    <xdr:from>
      <xdr:col>1</xdr:col>
      <xdr:colOff>1171576</xdr:colOff>
      <xdr:row>43</xdr:row>
      <xdr:rowOff>170640</xdr:rowOff>
    </xdr:from>
    <xdr:to>
      <xdr:col>5</xdr:col>
      <xdr:colOff>838200</xdr:colOff>
      <xdr:row>55</xdr:row>
      <xdr:rowOff>47626</xdr:rowOff>
    </xdr:to>
    <xdr:graphicFrame macro="">
      <xdr:nvGraphicFramePr>
        <xdr:cNvPr id="11" name="Chart 2">
          <a:extLst>
            <a:ext uri="{FF2B5EF4-FFF2-40B4-BE49-F238E27FC236}">
              <a16:creationId xmlns:a16="http://schemas.microsoft.com/office/drawing/2014/main" id="{3A6ECE1C-7360-4954-B4DF-61081416AD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133350</xdr:colOff>
      <xdr:row>65</xdr:row>
      <xdr:rowOff>158752</xdr:rowOff>
    </xdr:from>
    <xdr:to>
      <xdr:col>1</xdr:col>
      <xdr:colOff>1066800</xdr:colOff>
      <xdr:row>74</xdr:row>
      <xdr:rowOff>171451</xdr:rowOff>
    </xdr:to>
    <xdr:graphicFrame macro="">
      <xdr:nvGraphicFramePr>
        <xdr:cNvPr id="12" name="Chart 4">
          <a:extLst>
            <a:ext uri="{FF2B5EF4-FFF2-40B4-BE49-F238E27FC236}">
              <a16:creationId xmlns:a16="http://schemas.microsoft.com/office/drawing/2014/main" id="{EF155B83-B52A-4524-A5D7-AE9378C224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1238250</xdr:colOff>
      <xdr:row>65</xdr:row>
      <xdr:rowOff>161925</xdr:rowOff>
    </xdr:from>
    <xdr:to>
      <xdr:col>5</xdr:col>
      <xdr:colOff>847725</xdr:colOff>
      <xdr:row>74</xdr:row>
      <xdr:rowOff>152400</xdr:rowOff>
    </xdr:to>
    <xdr:graphicFrame macro="">
      <xdr:nvGraphicFramePr>
        <xdr:cNvPr id="13" name="Chart 2">
          <a:extLst>
            <a:ext uri="{FF2B5EF4-FFF2-40B4-BE49-F238E27FC236}">
              <a16:creationId xmlns:a16="http://schemas.microsoft.com/office/drawing/2014/main" id="{F53FA812-2203-4870-A915-AB0BE3AF82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1206500</xdr:colOff>
      <xdr:row>55</xdr:row>
      <xdr:rowOff>101601</xdr:rowOff>
    </xdr:from>
    <xdr:to>
      <xdr:col>5</xdr:col>
      <xdr:colOff>828675</xdr:colOff>
      <xdr:row>65</xdr:row>
      <xdr:rowOff>57151</xdr:rowOff>
    </xdr:to>
    <xdr:graphicFrame macro="">
      <xdr:nvGraphicFramePr>
        <xdr:cNvPr id="14" name="Chart 4">
          <a:extLst>
            <a:ext uri="{FF2B5EF4-FFF2-40B4-BE49-F238E27FC236}">
              <a16:creationId xmlns:a16="http://schemas.microsoft.com/office/drawing/2014/main" id="{D7BB370B-FB43-4FCE-9C50-889ACDAA61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295910</xdr:colOff>
      <xdr:row>206</xdr:row>
      <xdr:rowOff>419101</xdr:rowOff>
    </xdr:from>
    <xdr:to>
      <xdr:col>10</xdr:col>
      <xdr:colOff>371475</xdr:colOff>
      <xdr:row>207</xdr:row>
      <xdr:rowOff>1562101</xdr:rowOff>
    </xdr:to>
    <xdr:sp macro="" textlink="">
      <xdr:nvSpPr>
        <xdr:cNvPr id="15" name="TextBox 14">
          <a:extLst>
            <a:ext uri="{FF2B5EF4-FFF2-40B4-BE49-F238E27FC236}">
              <a16:creationId xmlns:a16="http://schemas.microsoft.com/office/drawing/2014/main" id="{90DBC105-E607-4EE1-82CD-41AB909FDC29}"/>
            </a:ext>
          </a:extLst>
        </xdr:cNvPr>
        <xdr:cNvSpPr txBox="1"/>
      </xdr:nvSpPr>
      <xdr:spPr>
        <a:xfrm>
          <a:off x="292735" y="43681651"/>
          <a:ext cx="11953240" cy="1790700"/>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AU" sz="1100" b="1">
              <a:solidFill>
                <a:schemeClr val="accent6">
                  <a:lumMod val="75000"/>
                </a:schemeClr>
              </a:solidFill>
            </a:rPr>
            <a:t>You have a choice of how to compute revenue:</a:t>
          </a:r>
        </a:p>
        <a:p>
          <a:r>
            <a:rPr lang="en-AU" sz="1100" b="1">
              <a:solidFill>
                <a:schemeClr val="accent6">
                  <a:lumMod val="75000"/>
                </a:schemeClr>
              </a:solidFill>
            </a:rPr>
            <a:t>Method 1</a:t>
          </a:r>
          <a:r>
            <a:rPr lang="en-AU" sz="1100" b="0" baseline="0">
              <a:solidFill>
                <a:schemeClr val="accent6">
                  <a:lumMod val="75000"/>
                </a:schemeClr>
              </a:solidFill>
            </a:rPr>
            <a:t> typically is used by some 'merchant bankers' and people with limited hands-on operational experience.  I have seen a number of major errors go undetected.   The revenue is computed inside  enormous algorithms so tracing back and auditing is dreadfully slow and apinful.  The value of contained metals,  the deductions, the TC and RC's, the penalties/premiums and possibly the transport costs are computed as a series of subtotals or occasionally (and absolutely stupidly) it is computed in one or two monstrous algorithms.   Any errors - which are so easy to make -  get lhidden.  This method is favoured by people who are very confident in their abilities with Excel and love big complex algorithms.  They are in too much of a rush to do things properly.   (They go home proud of their 'trophy' models - not realising this is no longer acceptable practice)</a:t>
          </a:r>
        </a:p>
        <a:p>
          <a:r>
            <a:rPr lang="en-AU" sz="1100" b="1">
              <a:solidFill>
                <a:schemeClr val="accent6">
                  <a:lumMod val="75000"/>
                </a:schemeClr>
              </a:solidFill>
            </a:rPr>
            <a:t>Method 2</a:t>
          </a:r>
          <a:r>
            <a:rPr lang="en-AU" sz="1100" b="0">
              <a:solidFill>
                <a:schemeClr val="accent6">
                  <a:lumMod val="75000"/>
                </a:schemeClr>
              </a:solidFill>
            </a:rPr>
            <a:t> is illustrated below.  First compute the price</a:t>
          </a:r>
          <a:r>
            <a:rPr lang="en-AU" sz="1100" b="0" baseline="0">
              <a:solidFill>
                <a:schemeClr val="accent6">
                  <a:lumMod val="75000"/>
                </a:schemeClr>
              </a:solidFill>
            </a:rPr>
            <a:t> of each tonne of concentrate in visible small steps so you and others can immediately recognise any errors and the price can be sense tested.  Then multiply the price by the tonnes sold.  Everything is transparent and easy to follow.  </a:t>
          </a:r>
        </a:p>
        <a:p>
          <a:r>
            <a:rPr lang="en-AU" sz="1100" b="1" baseline="0">
              <a:solidFill>
                <a:schemeClr val="accent6">
                  <a:lumMod val="75000"/>
                </a:schemeClr>
              </a:solidFill>
            </a:rPr>
            <a:t>Transport of Concentrate Costs: </a:t>
          </a:r>
          <a:r>
            <a:rPr lang="en-AU" sz="1100" b="0" baseline="0">
              <a:solidFill>
                <a:schemeClr val="accent6">
                  <a:lumMod val="75000"/>
                </a:schemeClr>
              </a:solidFill>
            </a:rPr>
            <a:t>In this worked example the cost of transporting concentrate to point of sale is in the operating costs, but if you prefer you can move it up here to the Revenue cashstream.</a:t>
          </a:r>
          <a:endParaRPr lang="en-AU" sz="1100" b="0">
            <a:solidFill>
              <a:schemeClr val="accent6">
                <a:lumMod val="75000"/>
              </a:schemeClr>
            </a:solidFill>
          </a:endParaRPr>
        </a:p>
      </xdr:txBody>
    </xdr:sp>
    <xdr:clientData/>
  </xdr:twoCellAnchor>
  <xdr:twoCellAnchor>
    <xdr:from>
      <xdr:col>0</xdr:col>
      <xdr:colOff>82550</xdr:colOff>
      <xdr:row>23</xdr:row>
      <xdr:rowOff>1</xdr:rowOff>
    </xdr:from>
    <xdr:to>
      <xdr:col>1</xdr:col>
      <xdr:colOff>1254125</xdr:colOff>
      <xdr:row>33</xdr:row>
      <xdr:rowOff>133351</xdr:rowOff>
    </xdr:to>
    <xdr:graphicFrame macro="">
      <xdr:nvGraphicFramePr>
        <xdr:cNvPr id="16" name="Chart 3">
          <a:extLst>
            <a:ext uri="{FF2B5EF4-FFF2-40B4-BE49-F238E27FC236}">
              <a16:creationId xmlns:a16="http://schemas.microsoft.com/office/drawing/2014/main" id="{A525192C-D507-4717-902C-5D85704D19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187325</xdr:colOff>
      <xdr:row>372</xdr:row>
      <xdr:rowOff>142875</xdr:rowOff>
    </xdr:from>
    <xdr:to>
      <xdr:col>7</xdr:col>
      <xdr:colOff>95250</xdr:colOff>
      <xdr:row>377</xdr:row>
      <xdr:rowOff>6350</xdr:rowOff>
    </xdr:to>
    <xdr:sp macro="" textlink="">
      <xdr:nvSpPr>
        <xdr:cNvPr id="17" name="TextBox 16">
          <a:extLst>
            <a:ext uri="{FF2B5EF4-FFF2-40B4-BE49-F238E27FC236}">
              <a16:creationId xmlns:a16="http://schemas.microsoft.com/office/drawing/2014/main" id="{F427C2DC-CBB1-4DA3-A8AA-F17383FB11A8}"/>
            </a:ext>
          </a:extLst>
        </xdr:cNvPr>
        <xdr:cNvSpPr txBox="1"/>
      </xdr:nvSpPr>
      <xdr:spPr>
        <a:xfrm>
          <a:off x="7683500" y="77692250"/>
          <a:ext cx="1660525" cy="727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solidFill>
                <a:schemeClr val="accent6">
                  <a:lumMod val="75000"/>
                </a:schemeClr>
              </a:solidFill>
            </a:rPr>
            <a:t>Italics</a:t>
          </a:r>
          <a:r>
            <a:rPr lang="en-AU" sz="1100" baseline="0">
              <a:solidFill>
                <a:schemeClr val="accent6">
                  <a:lumMod val="75000"/>
                </a:schemeClr>
              </a:solidFill>
            </a:rPr>
            <a:t> for Nominal $</a:t>
          </a:r>
        </a:p>
        <a:p>
          <a:endParaRPr lang="en-AU" sz="1100" baseline="0">
            <a:solidFill>
              <a:schemeClr val="accent6">
                <a:lumMod val="75000"/>
              </a:schemeClr>
            </a:solidFill>
          </a:endParaRPr>
        </a:p>
        <a:p>
          <a:r>
            <a:rPr lang="en-AU" sz="1100" baseline="0">
              <a:solidFill>
                <a:schemeClr val="accent6">
                  <a:lumMod val="75000"/>
                </a:schemeClr>
              </a:solidFill>
            </a:rPr>
            <a:t>Vertical for Real $</a:t>
          </a:r>
          <a:endParaRPr lang="en-AU" sz="1100">
            <a:solidFill>
              <a:schemeClr val="accent6">
                <a:lumMod val="75000"/>
              </a:schemeClr>
            </a:solidFill>
          </a:endParaRPr>
        </a:p>
      </xdr:txBody>
    </xdr:sp>
    <xdr:clientData/>
  </xdr:twoCellAnchor>
  <xdr:twoCellAnchor>
    <xdr:from>
      <xdr:col>5</xdr:col>
      <xdr:colOff>114300</xdr:colOff>
      <xdr:row>724</xdr:row>
      <xdr:rowOff>76200</xdr:rowOff>
    </xdr:from>
    <xdr:to>
      <xdr:col>7</xdr:col>
      <xdr:colOff>419100</xdr:colOff>
      <xdr:row>732</xdr:row>
      <xdr:rowOff>76200</xdr:rowOff>
    </xdr:to>
    <xdr:sp macro="" textlink="">
      <xdr:nvSpPr>
        <xdr:cNvPr id="18" name="TextBox 17">
          <a:extLst>
            <a:ext uri="{FF2B5EF4-FFF2-40B4-BE49-F238E27FC236}">
              <a16:creationId xmlns:a16="http://schemas.microsoft.com/office/drawing/2014/main" id="{32A61393-D51B-40C4-B9E5-6E526E22087F}"/>
            </a:ext>
          </a:extLst>
        </xdr:cNvPr>
        <xdr:cNvSpPr txBox="1"/>
      </xdr:nvSpPr>
      <xdr:spPr>
        <a:xfrm>
          <a:off x="7610475" y="144141825"/>
          <a:ext cx="2057400" cy="129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400">
            <a:solidFill>
              <a:srgbClr val="008000"/>
            </a:solidFill>
          </a:endParaRPr>
        </a:p>
        <a:p>
          <a:r>
            <a:rPr lang="en-AU" sz="1400">
              <a:solidFill>
                <a:srgbClr val="008000"/>
              </a:solidFill>
            </a:rPr>
            <a:t>Green Font means the row is referenced from another worksheet</a:t>
          </a:r>
        </a:p>
        <a:p>
          <a:endParaRPr lang="en-AU" sz="1400">
            <a:solidFill>
              <a:srgbClr val="008000"/>
            </a:solidFill>
          </a:endParaRPr>
        </a:p>
      </xdr:txBody>
    </xdr:sp>
    <xdr:clientData/>
  </xdr:twoCellAnchor>
  <xdr:twoCellAnchor>
    <xdr:from>
      <xdr:col>5</xdr:col>
      <xdr:colOff>0</xdr:colOff>
      <xdr:row>753</xdr:row>
      <xdr:rowOff>0</xdr:rowOff>
    </xdr:from>
    <xdr:to>
      <xdr:col>7</xdr:col>
      <xdr:colOff>304800</xdr:colOff>
      <xdr:row>759</xdr:row>
      <xdr:rowOff>152400</xdr:rowOff>
    </xdr:to>
    <xdr:sp macro="" textlink="">
      <xdr:nvSpPr>
        <xdr:cNvPr id="19" name="TextBox 18">
          <a:extLst>
            <a:ext uri="{FF2B5EF4-FFF2-40B4-BE49-F238E27FC236}">
              <a16:creationId xmlns:a16="http://schemas.microsoft.com/office/drawing/2014/main" id="{EBD64689-DCC4-4F86-9EE9-E98898158CCB}"/>
            </a:ext>
          </a:extLst>
        </xdr:cNvPr>
        <xdr:cNvSpPr txBox="1"/>
      </xdr:nvSpPr>
      <xdr:spPr>
        <a:xfrm>
          <a:off x="7496175" y="150085425"/>
          <a:ext cx="2057400" cy="129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400">
            <a:solidFill>
              <a:srgbClr val="008000"/>
            </a:solidFill>
          </a:endParaRPr>
        </a:p>
        <a:p>
          <a:r>
            <a:rPr lang="en-AU" sz="1400">
              <a:solidFill>
                <a:srgbClr val="008000"/>
              </a:solidFill>
            </a:rPr>
            <a:t>Green Font means the row is referenced from another worksheet</a:t>
          </a:r>
        </a:p>
        <a:p>
          <a:endParaRPr lang="en-AU" sz="1400">
            <a:solidFill>
              <a:srgbClr val="008000"/>
            </a:solidFill>
          </a:endParaRPr>
        </a:p>
      </xdr:txBody>
    </xdr:sp>
    <xdr:clientData/>
  </xdr:twoCellAnchor>
  <xdr:twoCellAnchor>
    <xdr:from>
      <xdr:col>5</xdr:col>
      <xdr:colOff>0</xdr:colOff>
      <xdr:row>665</xdr:row>
      <xdr:rowOff>0</xdr:rowOff>
    </xdr:from>
    <xdr:to>
      <xdr:col>7</xdr:col>
      <xdr:colOff>304800</xdr:colOff>
      <xdr:row>673</xdr:row>
      <xdr:rowOff>9525</xdr:rowOff>
    </xdr:to>
    <xdr:sp macro="" textlink="">
      <xdr:nvSpPr>
        <xdr:cNvPr id="20" name="TextBox 19">
          <a:extLst>
            <a:ext uri="{FF2B5EF4-FFF2-40B4-BE49-F238E27FC236}">
              <a16:creationId xmlns:a16="http://schemas.microsoft.com/office/drawing/2014/main" id="{6164BBC4-096A-4FFE-A15E-D95DBEB76420}"/>
            </a:ext>
          </a:extLst>
        </xdr:cNvPr>
        <xdr:cNvSpPr txBox="1"/>
      </xdr:nvSpPr>
      <xdr:spPr>
        <a:xfrm>
          <a:off x="7496175" y="133597650"/>
          <a:ext cx="2057400" cy="1292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400">
            <a:solidFill>
              <a:srgbClr val="008000"/>
            </a:solidFill>
          </a:endParaRPr>
        </a:p>
        <a:p>
          <a:r>
            <a:rPr lang="en-AU" sz="1400">
              <a:solidFill>
                <a:srgbClr val="008000"/>
              </a:solidFill>
            </a:rPr>
            <a:t>Green Font means the row is referenced from another worksheet</a:t>
          </a:r>
        </a:p>
        <a:p>
          <a:endParaRPr lang="en-AU" sz="1400">
            <a:solidFill>
              <a:srgbClr val="008000"/>
            </a:solidFill>
          </a:endParaRPr>
        </a:p>
      </xdr:txBody>
    </xdr:sp>
    <xdr:clientData/>
  </xdr:twoCellAnchor>
  <xdr:twoCellAnchor>
    <xdr:from>
      <xdr:col>6</xdr:col>
      <xdr:colOff>0</xdr:colOff>
      <xdr:row>212</xdr:row>
      <xdr:rowOff>0</xdr:rowOff>
    </xdr:from>
    <xdr:to>
      <xdr:col>8</xdr:col>
      <xdr:colOff>304800</xdr:colOff>
      <xdr:row>220</xdr:row>
      <xdr:rowOff>0</xdr:rowOff>
    </xdr:to>
    <xdr:sp macro="" textlink="">
      <xdr:nvSpPr>
        <xdr:cNvPr id="21" name="TextBox 20">
          <a:extLst>
            <a:ext uri="{FF2B5EF4-FFF2-40B4-BE49-F238E27FC236}">
              <a16:creationId xmlns:a16="http://schemas.microsoft.com/office/drawing/2014/main" id="{B05BA78F-1CAC-47E9-B509-3883BF9C7F5C}"/>
            </a:ext>
          </a:extLst>
        </xdr:cNvPr>
        <xdr:cNvSpPr txBox="1"/>
      </xdr:nvSpPr>
      <xdr:spPr>
        <a:xfrm>
          <a:off x="8372475" y="46462950"/>
          <a:ext cx="2057400" cy="129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AU" sz="1400">
            <a:solidFill>
              <a:srgbClr val="008000"/>
            </a:solidFill>
          </a:endParaRPr>
        </a:p>
        <a:p>
          <a:r>
            <a:rPr lang="en-AU" sz="1400">
              <a:solidFill>
                <a:srgbClr val="008000"/>
              </a:solidFill>
            </a:rPr>
            <a:t>Green Font means the row is referenced from another worksheet</a:t>
          </a:r>
        </a:p>
        <a:p>
          <a:endParaRPr lang="en-AU" sz="1400">
            <a:solidFill>
              <a:srgbClr val="008000"/>
            </a:solidFill>
          </a:endParaRPr>
        </a:p>
      </xdr:txBody>
    </xdr:sp>
    <xdr:clientData/>
  </xdr:twoCellAnchor>
  <xdr:twoCellAnchor>
    <xdr:from>
      <xdr:col>4</xdr:col>
      <xdr:colOff>695325</xdr:colOff>
      <xdr:row>94</xdr:row>
      <xdr:rowOff>57150</xdr:rowOff>
    </xdr:from>
    <xdr:to>
      <xdr:col>5</xdr:col>
      <xdr:colOff>781050</xdr:colOff>
      <xdr:row>95</xdr:row>
      <xdr:rowOff>247650</xdr:rowOff>
    </xdr:to>
    <xdr:cxnSp macro="">
      <xdr:nvCxnSpPr>
        <xdr:cNvPr id="22" name="Straight Arrow Connector 21">
          <a:extLst>
            <a:ext uri="{FF2B5EF4-FFF2-40B4-BE49-F238E27FC236}">
              <a16:creationId xmlns:a16="http://schemas.microsoft.com/office/drawing/2014/main" id="{7D047622-DF06-4760-B2CF-996867B3044B}"/>
            </a:ext>
          </a:extLst>
        </xdr:cNvPr>
        <xdr:cNvCxnSpPr/>
      </xdr:nvCxnSpPr>
      <xdr:spPr>
        <a:xfrm flipH="1" flipV="1">
          <a:off x="7312025" y="20840700"/>
          <a:ext cx="965200" cy="390525"/>
        </a:xfrm>
        <a:prstGeom prst="straightConnector1">
          <a:avLst/>
        </a:prstGeom>
        <a:ln>
          <a:solidFill>
            <a:srgbClr val="008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695325</xdr:colOff>
      <xdr:row>95</xdr:row>
      <xdr:rowOff>504825</xdr:rowOff>
    </xdr:from>
    <xdr:to>
      <xdr:col>5</xdr:col>
      <xdr:colOff>704850</xdr:colOff>
      <xdr:row>99</xdr:row>
      <xdr:rowOff>38100</xdr:rowOff>
    </xdr:to>
    <xdr:cxnSp macro="">
      <xdr:nvCxnSpPr>
        <xdr:cNvPr id="23" name="Straight Arrow Connector 22">
          <a:extLst>
            <a:ext uri="{FF2B5EF4-FFF2-40B4-BE49-F238E27FC236}">
              <a16:creationId xmlns:a16="http://schemas.microsoft.com/office/drawing/2014/main" id="{0F7EC213-39FB-401D-8EC5-15A0A280D680}"/>
            </a:ext>
          </a:extLst>
        </xdr:cNvPr>
        <xdr:cNvCxnSpPr/>
      </xdr:nvCxnSpPr>
      <xdr:spPr>
        <a:xfrm flipH="1">
          <a:off x="7312025" y="21485225"/>
          <a:ext cx="889000" cy="8128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714375</xdr:colOff>
      <xdr:row>95</xdr:row>
      <xdr:rowOff>104775</xdr:rowOff>
    </xdr:from>
    <xdr:to>
      <xdr:col>11</xdr:col>
      <xdr:colOff>673100</xdr:colOff>
      <xdr:row>95</xdr:row>
      <xdr:rowOff>673100</xdr:rowOff>
    </xdr:to>
    <xdr:sp macro="" textlink="">
      <xdr:nvSpPr>
        <xdr:cNvPr id="24" name="TextBox 23">
          <a:extLst>
            <a:ext uri="{FF2B5EF4-FFF2-40B4-BE49-F238E27FC236}">
              <a16:creationId xmlns:a16="http://schemas.microsoft.com/office/drawing/2014/main" id="{AE75BFB3-C926-4336-9A7D-981BDC1E14A1}"/>
            </a:ext>
          </a:extLst>
        </xdr:cNvPr>
        <xdr:cNvSpPr txBox="1"/>
      </xdr:nvSpPr>
      <xdr:spPr>
        <a:xfrm>
          <a:off x="8207375" y="21085175"/>
          <a:ext cx="5232400" cy="574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400">
              <a:solidFill>
                <a:srgbClr val="008000"/>
              </a:solidFill>
            </a:rPr>
            <a:t>Green Font means the row is referenced from another woksheet</a:t>
          </a:r>
        </a:p>
        <a:p>
          <a:r>
            <a:rPr lang="en-AU" sz="1400">
              <a:solidFill>
                <a:srgbClr val="0033CC"/>
              </a:solidFill>
            </a:rPr>
            <a:t>Blue font means a fresh data entry</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213AEB-2F43-426A-9FD8-33AD25352FC5}">
  <sheetPr>
    <pageSetUpPr fitToPage="1"/>
  </sheetPr>
  <dimension ref="A1:Z51"/>
  <sheetViews>
    <sheetView tabSelected="1" zoomScaleNormal="100" workbookViewId="0">
      <selection activeCell="C2" sqref="C2"/>
    </sheetView>
  </sheetViews>
  <sheetFormatPr defaultRowHeight="14.5"/>
  <cols>
    <col min="1" max="1" width="16.36328125" customWidth="1"/>
    <col min="2" max="2" width="14.453125" customWidth="1"/>
    <col min="3" max="3" width="12.7265625" customWidth="1"/>
    <col min="4" max="13" width="9.54296875" bestFit="1" customWidth="1"/>
  </cols>
  <sheetData>
    <row r="1" spans="1:26" s="355" customFormat="1" ht="23.5">
      <c r="A1" s="357" t="s">
        <v>631</v>
      </c>
      <c r="B1" s="352"/>
      <c r="C1" s="352"/>
      <c r="D1" s="352"/>
      <c r="E1" s="352"/>
      <c r="F1" s="352"/>
      <c r="G1" s="352"/>
      <c r="H1" s="352"/>
      <c r="I1" s="352"/>
      <c r="J1" s="352"/>
      <c r="K1" s="352"/>
      <c r="L1" s="352"/>
      <c r="M1" s="353"/>
      <c r="N1" s="353"/>
      <c r="O1" s="353"/>
      <c r="P1" s="354"/>
      <c r="Q1" s="354"/>
      <c r="R1" s="354"/>
      <c r="S1" s="354"/>
      <c r="T1" s="354"/>
      <c r="U1" s="354"/>
      <c r="V1" s="354"/>
      <c r="W1" s="354"/>
      <c r="X1" s="354"/>
      <c r="Y1" s="354"/>
      <c r="Z1" s="354"/>
    </row>
    <row r="2" spans="1:26" s="18" customFormat="1" ht="17.25" customHeight="1">
      <c r="A2" s="169" t="s">
        <v>0</v>
      </c>
      <c r="B2" s="32"/>
      <c r="C2" s="32"/>
      <c r="D2" s="32"/>
      <c r="E2" s="32"/>
      <c r="F2" s="32"/>
      <c r="G2" s="32"/>
      <c r="H2" s="32"/>
      <c r="I2" s="32"/>
      <c r="J2" s="32"/>
      <c r="K2" s="32"/>
      <c r="L2" s="32"/>
      <c r="M2" s="32"/>
      <c r="N2" s="32"/>
      <c r="O2" s="32"/>
      <c r="P2" s="32"/>
      <c r="Q2" s="32"/>
      <c r="R2" s="32"/>
      <c r="S2" s="32"/>
    </row>
    <row r="3" spans="1:26" ht="17" customHeight="1">
      <c r="A3" s="170" t="s">
        <v>477</v>
      </c>
      <c r="B3" s="13"/>
      <c r="C3" s="13"/>
      <c r="D3" s="13"/>
      <c r="E3" s="13"/>
      <c r="F3" s="13"/>
      <c r="G3" s="13"/>
      <c r="H3" s="13"/>
      <c r="I3" s="13"/>
      <c r="J3" s="13"/>
      <c r="K3" s="13"/>
      <c r="L3" s="13"/>
      <c r="M3" s="13"/>
      <c r="N3" s="13"/>
      <c r="O3" s="13"/>
      <c r="P3" s="13"/>
      <c r="Q3" s="13"/>
      <c r="R3" s="13"/>
      <c r="S3" s="13"/>
    </row>
    <row r="4" spans="1:26" ht="17" customHeight="1">
      <c r="A4" s="171" t="s">
        <v>478</v>
      </c>
      <c r="B4" s="13"/>
      <c r="C4" s="13"/>
      <c r="D4" s="13"/>
      <c r="E4" s="13"/>
      <c r="F4" s="13"/>
      <c r="G4" s="13"/>
      <c r="H4" s="13"/>
      <c r="I4" s="13"/>
      <c r="J4" s="13"/>
      <c r="K4" s="13"/>
      <c r="L4" s="13"/>
      <c r="M4" s="13"/>
      <c r="N4" s="13"/>
      <c r="O4" s="13"/>
      <c r="P4" s="13"/>
      <c r="Q4" s="13"/>
      <c r="R4" s="13"/>
      <c r="S4" s="13"/>
    </row>
    <row r="5" spans="1:26" s="18" customFormat="1" ht="17.25" customHeight="1">
      <c r="A5" s="172" t="s">
        <v>1</v>
      </c>
      <c r="B5" s="32"/>
      <c r="C5" s="32"/>
      <c r="D5" s="32"/>
      <c r="E5" s="32"/>
      <c r="F5" s="32"/>
      <c r="G5" s="32"/>
      <c r="H5" s="32"/>
      <c r="I5" s="32"/>
      <c r="J5" s="32"/>
      <c r="K5" s="32"/>
      <c r="L5" s="32"/>
      <c r="M5" s="32"/>
      <c r="N5" s="32"/>
      <c r="O5" s="32"/>
      <c r="P5" s="32"/>
      <c r="Q5" s="32"/>
      <c r="R5" s="32"/>
      <c r="S5" s="32"/>
    </row>
    <row r="6" spans="1:26" s="5" customFormat="1" ht="17.25" customHeight="1">
      <c r="A6" s="173" t="s">
        <v>632</v>
      </c>
      <c r="B6" s="9"/>
      <c r="C6" s="10"/>
      <c r="D6" s="13"/>
      <c r="E6" s="11"/>
      <c r="F6" s="12"/>
      <c r="G6" s="12"/>
      <c r="H6" s="12"/>
      <c r="I6" s="12"/>
      <c r="J6" s="12"/>
      <c r="K6" s="12"/>
      <c r="L6" s="12"/>
      <c r="M6" s="13"/>
      <c r="N6" s="13"/>
      <c r="O6" s="13"/>
      <c r="P6" s="13"/>
      <c r="Q6" s="13"/>
      <c r="R6" s="13"/>
      <c r="S6" s="13"/>
    </row>
    <row r="7" spans="1:26" s="5" customFormat="1" ht="17.25" customHeight="1">
      <c r="A7" s="173" t="s">
        <v>502</v>
      </c>
      <c r="B7" s="9"/>
      <c r="C7" s="10"/>
      <c r="D7" s="13"/>
      <c r="E7" s="11"/>
      <c r="F7" s="12"/>
      <c r="G7" s="12"/>
      <c r="H7" s="12"/>
      <c r="I7" s="12"/>
      <c r="J7" s="12"/>
      <c r="K7" s="12"/>
      <c r="L7" s="12"/>
      <c r="M7" s="13"/>
      <c r="N7" s="13"/>
      <c r="O7" s="13"/>
      <c r="P7" s="13"/>
      <c r="Q7" s="13"/>
      <c r="R7" s="13"/>
      <c r="S7" s="13"/>
    </row>
    <row r="8" spans="1:26" s="5" customFormat="1" ht="17.25" customHeight="1">
      <c r="A8" s="173" t="s">
        <v>503</v>
      </c>
      <c r="B8" s="9"/>
      <c r="C8" s="10"/>
      <c r="D8" s="13"/>
      <c r="E8" s="11"/>
      <c r="F8" s="12"/>
      <c r="G8" s="12"/>
      <c r="H8" s="12"/>
      <c r="I8" s="12"/>
      <c r="J8" s="12"/>
      <c r="K8" s="12"/>
      <c r="L8" s="12"/>
      <c r="M8" s="13"/>
      <c r="N8" s="13"/>
      <c r="O8" s="13"/>
      <c r="P8" s="13"/>
      <c r="Q8" s="13"/>
      <c r="R8" s="13"/>
      <c r="S8" s="13"/>
    </row>
    <row r="9" spans="1:26" s="5" customFormat="1" ht="17" customHeight="1">
      <c r="A9" s="173" t="s">
        <v>504</v>
      </c>
      <c r="B9" s="9"/>
      <c r="C9" s="10"/>
      <c r="D9" s="13"/>
      <c r="E9" s="11"/>
      <c r="F9" s="12"/>
      <c r="G9" s="12"/>
      <c r="H9" s="12"/>
      <c r="I9" s="12"/>
      <c r="J9" s="12"/>
      <c r="K9" s="12"/>
      <c r="L9" s="12"/>
      <c r="M9" s="13"/>
      <c r="N9" s="13"/>
      <c r="O9" s="13"/>
      <c r="P9" s="13"/>
      <c r="Q9" s="13"/>
      <c r="R9" s="13"/>
      <c r="S9" s="13"/>
    </row>
    <row r="10" spans="1:26" s="5" customFormat="1" ht="17" customHeight="1">
      <c r="A10" s="173" t="s">
        <v>425</v>
      </c>
      <c r="B10" s="9"/>
      <c r="C10" s="10"/>
      <c r="D10" s="13"/>
      <c r="E10" s="11"/>
      <c r="F10" s="12"/>
      <c r="G10" s="12"/>
      <c r="H10" s="12"/>
      <c r="I10" s="12"/>
      <c r="J10" s="12"/>
      <c r="K10" s="12"/>
      <c r="L10" s="12"/>
      <c r="M10" s="13"/>
      <c r="N10" s="13"/>
      <c r="O10" s="13"/>
      <c r="P10" s="13"/>
      <c r="Q10" s="13"/>
      <c r="R10" s="13"/>
      <c r="S10" s="13"/>
    </row>
    <row r="11" spans="1:26" s="18" customFormat="1" ht="17.25" customHeight="1">
      <c r="A11" s="172" t="s">
        <v>3</v>
      </c>
      <c r="B11" s="32"/>
      <c r="C11" s="32"/>
      <c r="D11" s="32"/>
      <c r="E11" s="32"/>
      <c r="F11" s="32"/>
      <c r="G11" s="32"/>
      <c r="H11" s="32"/>
      <c r="I11" s="32"/>
      <c r="J11" s="32"/>
      <c r="K11" s="32"/>
      <c r="L11" s="32"/>
      <c r="M11" s="32"/>
      <c r="N11" s="32"/>
      <c r="O11" s="32"/>
      <c r="P11" s="32"/>
      <c r="Q11" s="32"/>
      <c r="R11" s="32"/>
      <c r="S11" s="32"/>
    </row>
    <row r="12" spans="1:26" s="134" customFormat="1" ht="17.25" customHeight="1">
      <c r="A12" s="173" t="s">
        <v>24</v>
      </c>
      <c r="B12" s="173" t="s">
        <v>33</v>
      </c>
      <c r="C12" s="174">
        <v>45728</v>
      </c>
      <c r="E12" s="175"/>
      <c r="F12" s="176"/>
    </row>
    <row r="13" spans="1:26" s="134" customFormat="1" ht="17.25" customHeight="1">
      <c r="A13" s="173" t="s">
        <v>479</v>
      </c>
      <c r="B13" s="173" t="s">
        <v>480</v>
      </c>
      <c r="E13" s="175"/>
      <c r="F13" s="176"/>
    </row>
    <row r="14" spans="1:26" s="18" customFormat="1" ht="17.25" customHeight="1">
      <c r="A14" s="172" t="s">
        <v>23</v>
      </c>
      <c r="B14" s="32"/>
      <c r="C14" s="32"/>
      <c r="D14" s="32"/>
      <c r="E14" s="32"/>
      <c r="F14" s="32"/>
      <c r="G14" s="32"/>
      <c r="H14" s="32"/>
      <c r="I14" s="32"/>
      <c r="J14" s="32"/>
      <c r="K14" s="32"/>
      <c r="L14" s="32"/>
      <c r="M14" s="32"/>
      <c r="N14" s="32"/>
      <c r="O14" s="32"/>
      <c r="P14" s="32"/>
      <c r="Q14" s="32"/>
      <c r="R14" s="32"/>
      <c r="S14" s="32"/>
    </row>
    <row r="15" spans="1:26" s="8" customFormat="1" ht="17.25" customHeight="1">
      <c r="A15" s="333" t="s">
        <v>481</v>
      </c>
      <c r="B15" s="9"/>
      <c r="C15" s="10"/>
      <c r="D15" s="13"/>
      <c r="E15" s="177"/>
      <c r="F15" s="178"/>
    </row>
    <row r="16" spans="1:26" s="351" customFormat="1" ht="56.25" customHeight="1">
      <c r="A16" s="348" t="s">
        <v>482</v>
      </c>
      <c r="B16" s="349"/>
      <c r="C16" s="349"/>
      <c r="D16" s="349"/>
      <c r="E16" s="349"/>
      <c r="F16" s="349"/>
      <c r="G16" s="349"/>
      <c r="H16" s="349"/>
      <c r="I16" s="349"/>
      <c r="J16" s="350"/>
      <c r="K16" s="350"/>
      <c r="L16" s="350"/>
      <c r="M16" s="350"/>
    </row>
    <row r="17" spans="1:13" s="32" customFormat="1" ht="19.5" customHeight="1">
      <c r="A17" s="179" t="s">
        <v>483</v>
      </c>
    </row>
    <row r="18" spans="1:13" s="13" customFormat="1" ht="13">
      <c r="A18" s="180">
        <f>45+22.4</f>
        <v>67.400000000000006</v>
      </c>
      <c r="B18" s="13" t="s">
        <v>484</v>
      </c>
    </row>
    <row r="19" spans="1:13" s="13" customFormat="1" ht="13">
      <c r="A19" s="41" t="s">
        <v>485</v>
      </c>
    </row>
    <row r="20" spans="1:13" s="13" customFormat="1" ht="13">
      <c r="A20" s="14"/>
      <c r="B20" s="13" t="s">
        <v>486</v>
      </c>
    </row>
    <row r="21" spans="1:13" s="13" customFormat="1" ht="13">
      <c r="A21" s="181">
        <v>67.400000000000006</v>
      </c>
      <c r="B21" s="13" t="s">
        <v>487</v>
      </c>
    </row>
    <row r="22" spans="1:13" s="183" customFormat="1" ht="28.5" customHeight="1">
      <c r="A22" s="182" t="s">
        <v>488</v>
      </c>
    </row>
    <row r="23" spans="1:13" s="13" customFormat="1" ht="13">
      <c r="A23" s="14"/>
      <c r="B23" s="13" t="s">
        <v>489</v>
      </c>
    </row>
    <row r="24" spans="1:13" s="13" customFormat="1" ht="13">
      <c r="A24" s="184" t="str">
        <f>'Expected NPV &amp; Common Data'!A76</f>
        <v>State copper royalty</v>
      </c>
      <c r="B24" s="337" t="str">
        <f>'Expected NPV &amp; Common Data'!B76</f>
        <v>%</v>
      </c>
      <c r="C24" s="337" t="str">
        <f>'Expected NPV &amp; Common Data'!C76</f>
        <v>US$/lb</v>
      </c>
      <c r="D24" s="338">
        <f>'Expected NPV &amp; Common Data'!D76</f>
        <v>0.06</v>
      </c>
      <c r="E24" s="338">
        <f>'Expected NPV &amp; Common Data'!E76</f>
        <v>0.06</v>
      </c>
      <c r="F24" s="338">
        <f>'Expected NPV &amp; Common Data'!F76</f>
        <v>0.06</v>
      </c>
      <c r="G24" s="338">
        <f>'Expected NPV &amp; Common Data'!G76</f>
        <v>0.06</v>
      </c>
      <c r="H24" s="338">
        <f>'Expected NPV &amp; Common Data'!H76</f>
        <v>0.06</v>
      </c>
      <c r="I24" s="338">
        <f>'Expected NPV &amp; Common Data'!I76</f>
        <v>0.06</v>
      </c>
      <c r="J24" s="338">
        <f>'Expected NPV &amp; Common Data'!J76</f>
        <v>0.06</v>
      </c>
      <c r="K24" s="338">
        <f>'Expected NPV &amp; Common Data'!K76</f>
        <v>0.06</v>
      </c>
      <c r="L24" s="338">
        <f>'Expected NPV &amp; Common Data'!L76</f>
        <v>0.06</v>
      </c>
      <c r="M24" s="338">
        <f>'Expected NPV &amp; Common Data'!M76</f>
        <v>0.06</v>
      </c>
    </row>
    <row r="25" spans="1:13" s="13" customFormat="1" ht="13">
      <c r="A25" s="14"/>
      <c r="B25" s="13" t="s">
        <v>490</v>
      </c>
    </row>
    <row r="26" spans="1:13" s="13" customFormat="1" ht="13">
      <c r="A26" s="14"/>
      <c r="B26" s="13" t="s">
        <v>491</v>
      </c>
    </row>
    <row r="27" spans="1:13" s="13" customFormat="1" ht="13">
      <c r="A27" s="14"/>
      <c r="B27" s="13" t="s">
        <v>492</v>
      </c>
    </row>
    <row r="28" spans="1:13" s="134" customFormat="1" ht="28.5" customHeight="1">
      <c r="A28" s="185" t="s">
        <v>493</v>
      </c>
    </row>
    <row r="29" spans="1:13" s="13" customFormat="1" ht="13">
      <c r="A29" s="15">
        <f>A18+A21</f>
        <v>134.80000000000001</v>
      </c>
      <c r="B29" s="13" t="s">
        <v>494</v>
      </c>
    </row>
    <row r="30" spans="1:13" s="134" customFormat="1" ht="28.5" customHeight="1">
      <c r="A30" s="186" t="s">
        <v>495</v>
      </c>
    </row>
    <row r="31" spans="1:13" s="13" customFormat="1" ht="13">
      <c r="A31" s="187">
        <v>67.400000000000006</v>
      </c>
      <c r="B31" s="13" t="s">
        <v>496</v>
      </c>
    </row>
    <row r="32" spans="1:13" s="13" customFormat="1" ht="13"/>
    <row r="33" spans="1:19" s="134" customFormat="1" ht="28.5" customHeight="1">
      <c r="A33" s="185" t="s">
        <v>497</v>
      </c>
    </row>
    <row r="34" spans="1:19" s="13" customFormat="1" ht="13">
      <c r="A34" s="13" t="s">
        <v>498</v>
      </c>
    </row>
    <row r="35" spans="1:19" s="13" customFormat="1" ht="13">
      <c r="B35" s="13" t="s">
        <v>499</v>
      </c>
    </row>
    <row r="36" spans="1:19" s="13" customFormat="1" ht="13">
      <c r="C36" s="13" t="s">
        <v>500</v>
      </c>
    </row>
    <row r="37" spans="1:19" s="13" customFormat="1" ht="13">
      <c r="A37" s="14"/>
      <c r="B37" s="14"/>
      <c r="C37" s="14"/>
      <c r="D37" s="13" t="s">
        <v>501</v>
      </c>
      <c r="E37" s="14"/>
      <c r="F37" s="14"/>
    </row>
    <row r="38" spans="1:19">
      <c r="A38" s="13"/>
      <c r="B38" s="13"/>
      <c r="C38" s="13"/>
      <c r="D38" s="13"/>
      <c r="E38" s="13"/>
      <c r="F38" s="13"/>
      <c r="G38" s="13"/>
      <c r="H38" s="13"/>
      <c r="I38" s="13"/>
      <c r="J38" s="13"/>
      <c r="K38" s="13"/>
      <c r="L38" s="13"/>
      <c r="M38" s="13"/>
      <c r="N38" s="13"/>
      <c r="O38" s="13"/>
      <c r="P38" s="13"/>
      <c r="Q38" s="13"/>
      <c r="R38" s="13"/>
      <c r="S38" s="13"/>
    </row>
    <row r="39" spans="1:19" s="32" customFormat="1" ht="55.5" customHeight="1">
      <c r="A39" s="23" t="s">
        <v>408</v>
      </c>
    </row>
    <row r="40" spans="1:19" ht="18.5">
      <c r="A40" s="160" t="s">
        <v>424</v>
      </c>
      <c r="B40" s="160" t="s">
        <v>409</v>
      </c>
      <c r="C40" s="160" t="s">
        <v>410</v>
      </c>
      <c r="D40" s="160"/>
      <c r="E40" s="160"/>
      <c r="F40" s="160"/>
      <c r="G40" s="160"/>
      <c r="H40" s="160"/>
      <c r="I40" s="160"/>
      <c r="J40" s="160"/>
      <c r="K40" s="161" t="s">
        <v>149</v>
      </c>
      <c r="L40" s="161" t="s">
        <v>150</v>
      </c>
      <c r="M40" s="162" t="s">
        <v>151</v>
      </c>
      <c r="N40" s="161" t="s">
        <v>152</v>
      </c>
    </row>
    <row r="41" spans="1:19" s="13" customFormat="1" ht="13">
      <c r="A41" s="13" t="s">
        <v>411</v>
      </c>
      <c r="B41" s="13" t="s">
        <v>505</v>
      </c>
      <c r="C41" s="13" t="s">
        <v>412</v>
      </c>
      <c r="K41" s="188">
        <v>0.10199999999999999</v>
      </c>
      <c r="L41" s="189">
        <v>101</v>
      </c>
      <c r="M41" s="118"/>
      <c r="N41" s="190">
        <v>1.29</v>
      </c>
    </row>
    <row r="42" spans="1:19" s="13" customFormat="1" ht="13">
      <c r="A42" s="13" t="s">
        <v>413</v>
      </c>
      <c r="B42" s="13" t="s">
        <v>506</v>
      </c>
      <c r="C42" s="13" t="s">
        <v>414</v>
      </c>
      <c r="K42" s="188">
        <v>0.11799999999999999</v>
      </c>
      <c r="L42" s="189">
        <v>173</v>
      </c>
      <c r="M42" s="118">
        <f>L42-L41</f>
        <v>72</v>
      </c>
      <c r="N42" s="191">
        <v>1.26</v>
      </c>
    </row>
    <row r="43" spans="1:19" s="13" customFormat="1" ht="13">
      <c r="A43" s="13" t="s">
        <v>415</v>
      </c>
      <c r="B43" s="13" t="s">
        <v>507</v>
      </c>
      <c r="C43" s="13" t="s">
        <v>416</v>
      </c>
      <c r="K43" s="188">
        <v>9.2999999999999999E-2</v>
      </c>
      <c r="L43" s="189">
        <v>66</v>
      </c>
      <c r="M43" s="118">
        <f t="shared" ref="M43:M50" si="0">L43-L42</f>
        <v>-107</v>
      </c>
      <c r="N43" s="191">
        <v>1.21</v>
      </c>
    </row>
    <row r="44" spans="1:19" s="13" customFormat="1" ht="13">
      <c r="A44" s="13" t="s">
        <v>417</v>
      </c>
      <c r="B44" s="13" t="s">
        <v>508</v>
      </c>
      <c r="C44" s="13" t="s">
        <v>418</v>
      </c>
      <c r="K44" s="188">
        <v>0.14199999999999999</v>
      </c>
      <c r="L44" s="189">
        <v>313</v>
      </c>
      <c r="M44" s="118">
        <f t="shared" si="0"/>
        <v>247</v>
      </c>
      <c r="N44" s="191">
        <v>1.21</v>
      </c>
    </row>
    <row r="45" spans="1:19" s="13" customFormat="1" ht="13">
      <c r="A45" s="13" t="s">
        <v>41</v>
      </c>
      <c r="B45" s="13" t="s">
        <v>509</v>
      </c>
      <c r="C45" s="13" t="s">
        <v>419</v>
      </c>
      <c r="K45" s="188">
        <v>0.154</v>
      </c>
      <c r="L45" s="189">
        <v>388</v>
      </c>
      <c r="M45" s="118">
        <f t="shared" si="0"/>
        <v>75</v>
      </c>
      <c r="N45" s="191">
        <v>1.34</v>
      </c>
    </row>
    <row r="46" spans="1:19" s="13" customFormat="1" ht="13">
      <c r="A46" s="13" t="s">
        <v>40</v>
      </c>
      <c r="B46" s="13" t="s">
        <v>510</v>
      </c>
      <c r="C46" s="13" t="s">
        <v>420</v>
      </c>
      <c r="K46" s="188">
        <v>0.14099999999999999</v>
      </c>
      <c r="L46" s="189">
        <v>309</v>
      </c>
      <c r="M46" s="118">
        <f t="shared" si="0"/>
        <v>-79</v>
      </c>
      <c r="N46" s="191">
        <v>1.34</v>
      </c>
    </row>
    <row r="47" spans="1:19" s="13" customFormat="1" ht="13">
      <c r="A47" s="13" t="s">
        <v>421</v>
      </c>
      <c r="B47" s="13" t="s">
        <v>511</v>
      </c>
      <c r="C47" s="13" t="s">
        <v>422</v>
      </c>
      <c r="K47" s="188">
        <v>0.13400000000000001</v>
      </c>
      <c r="L47" s="189">
        <v>269</v>
      </c>
      <c r="M47" s="118">
        <f t="shared" si="0"/>
        <v>-40</v>
      </c>
      <c r="N47" s="191">
        <v>1.41</v>
      </c>
    </row>
    <row r="48" spans="1:19" s="13" customFormat="1" ht="13">
      <c r="A48" s="13" t="s">
        <v>421</v>
      </c>
      <c r="B48" s="13" t="s">
        <v>512</v>
      </c>
      <c r="C48" s="13" t="s">
        <v>423</v>
      </c>
      <c r="K48" s="188">
        <v>0.123</v>
      </c>
      <c r="L48" s="189">
        <v>217</v>
      </c>
      <c r="M48" s="118">
        <f t="shared" si="0"/>
        <v>-52</v>
      </c>
      <c r="N48" s="191">
        <v>1.45</v>
      </c>
    </row>
    <row r="49" spans="1:14" s="13" customFormat="1" ht="13">
      <c r="A49" s="13" t="s">
        <v>430</v>
      </c>
      <c r="B49" s="13" t="s">
        <v>513</v>
      </c>
      <c r="C49" s="13" t="s">
        <v>431</v>
      </c>
      <c r="K49" s="188">
        <v>0.13400000000000001</v>
      </c>
      <c r="L49" s="189">
        <v>272</v>
      </c>
      <c r="M49" s="118">
        <f t="shared" si="0"/>
        <v>55</v>
      </c>
      <c r="N49" s="191">
        <v>1.6</v>
      </c>
    </row>
    <row r="50" spans="1:14" s="13" customFormat="1" ht="13">
      <c r="A50" s="13" t="s">
        <v>432</v>
      </c>
      <c r="B50" s="13" t="s">
        <v>513</v>
      </c>
      <c r="C50" s="13" t="s">
        <v>433</v>
      </c>
      <c r="K50" s="188">
        <v>0.13600000000000001</v>
      </c>
      <c r="L50" s="189">
        <v>269</v>
      </c>
      <c r="M50" s="118">
        <f t="shared" si="0"/>
        <v>-3</v>
      </c>
      <c r="N50" s="191">
        <v>1.7</v>
      </c>
    </row>
    <row r="51" spans="1:14" s="13" customFormat="1" ht="13">
      <c r="K51" s="192"/>
      <c r="L51" s="189"/>
      <c r="M51" s="193"/>
      <c r="N51" s="33"/>
    </row>
  </sheetData>
  <pageMargins left="0.70866141732283472" right="0.70866141732283472" top="0.74803149606299213" bottom="0.74803149606299213" header="0.31496062992125984" footer="0.31496062992125984"/>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D102"/>
  <sheetViews>
    <sheetView zoomScaleNormal="100" workbookViewId="0">
      <pane xSplit="12" topLeftCell="M1" activePane="topRight" state="frozen"/>
      <selection activeCell="A19" sqref="A19"/>
      <selection pane="topRight" activeCell="C2" sqref="C2"/>
    </sheetView>
  </sheetViews>
  <sheetFormatPr defaultRowHeight="15.5" outlineLevelRow="1"/>
  <cols>
    <col min="1" max="1" width="34.90625" customWidth="1"/>
    <col min="2" max="2" width="14.08984375" customWidth="1"/>
    <col min="3" max="3" width="18.90625" style="3" customWidth="1"/>
    <col min="4" max="4" width="15.36328125" style="2" customWidth="1"/>
    <col min="5" max="30" width="14" style="2" customWidth="1"/>
  </cols>
  <sheetData>
    <row r="1" spans="1:13" s="195" customFormat="1" ht="30.75" customHeight="1">
      <c r="A1" s="194" t="str">
        <f>'Intro &amp; log of testing'!A1</f>
        <v>Worked Example - Long &amp; Detailed Business Evaluation - www.economicevaluation.com.au</v>
      </c>
      <c r="B1" s="194"/>
      <c r="C1" s="194"/>
      <c r="D1" s="194"/>
    </row>
    <row r="2" spans="1:13" s="100" customFormat="1" ht="28.5" customHeight="1">
      <c r="A2" s="356" t="s">
        <v>514</v>
      </c>
    </row>
    <row r="3" spans="1:13" s="5" customFormat="1" ht="40.75" customHeight="1">
      <c r="A3" s="21" t="s">
        <v>515</v>
      </c>
      <c r="C3" s="197"/>
      <c r="D3" s="7"/>
      <c r="E3" s="7"/>
      <c r="F3" s="7"/>
      <c r="G3" s="7"/>
      <c r="H3" s="7"/>
      <c r="I3" s="7"/>
      <c r="J3" s="7"/>
      <c r="K3" s="7"/>
      <c r="L3" s="7"/>
      <c r="M3" s="7"/>
    </row>
    <row r="4" spans="1:13" s="4" customFormat="1" ht="30.5" customHeight="1">
      <c r="A4" s="97" t="s">
        <v>516</v>
      </c>
      <c r="B4" s="8"/>
      <c r="C4" s="3"/>
      <c r="D4" s="204" t="s">
        <v>476</v>
      </c>
      <c r="E4" s="205" t="s">
        <v>517</v>
      </c>
    </row>
    <row r="5" spans="1:13" s="4" customFormat="1" ht="13.25" customHeight="1">
      <c r="A5" s="334" t="str">
        <f>'Mid Case'!A20</f>
        <v>NPV - Mid Case</v>
      </c>
      <c r="B5" s="198" t="str">
        <f>'Mid Case'!B20</f>
        <v>US$ million</v>
      </c>
      <c r="C5" s="343">
        <f>'Mid Case'!C20</f>
        <v>360.43643029504676</v>
      </c>
      <c r="D5" s="207">
        <v>0.55000000000000004</v>
      </c>
      <c r="E5" s="202">
        <f>C5*D5</f>
        <v>198.24003666227574</v>
      </c>
    </row>
    <row r="6" spans="1:13" s="4" customFormat="1" ht="13.25" customHeight="1">
      <c r="A6" s="334" t="str">
        <f>'Low Case'!A20</f>
        <v>NPV - Low Case</v>
      </c>
      <c r="B6" s="198" t="str">
        <f>'Low Case'!B20</f>
        <v>US$ million</v>
      </c>
      <c r="C6" s="343">
        <f>'Low Case'!C20</f>
        <v>-658.07543821085255</v>
      </c>
      <c r="D6" s="207">
        <v>0.3</v>
      </c>
      <c r="E6" s="202">
        <f t="shared" ref="E6:E7" si="0">C6*D6</f>
        <v>-197.42263146325575</v>
      </c>
    </row>
    <row r="7" spans="1:13" s="4" customFormat="1" ht="13.25" customHeight="1">
      <c r="A7" s="334" t="str">
        <f>'High Case'!A20</f>
        <v>NPV - High Case</v>
      </c>
      <c r="B7" s="198" t="str">
        <f>'High Case'!B20</f>
        <v>US$ million</v>
      </c>
      <c r="C7" s="343">
        <f>'High Case'!C20</f>
        <v>1173.567255923926</v>
      </c>
      <c r="D7" s="207">
        <v>0.15</v>
      </c>
      <c r="E7" s="202">
        <f t="shared" si="0"/>
        <v>176.03508838858889</v>
      </c>
    </row>
    <row r="8" spans="1:13" s="4" customFormat="1" ht="17.5" customHeight="1">
      <c r="A8" s="336" t="s">
        <v>518</v>
      </c>
      <c r="B8" s="198"/>
      <c r="C8" s="344"/>
      <c r="D8" s="203">
        <f>SUM(D5:D7)</f>
        <v>1</v>
      </c>
      <c r="E8" s="209">
        <f>SUM(E5:E7)</f>
        <v>176.85249358760888</v>
      </c>
    </row>
    <row r="9" spans="1:13" s="4" customFormat="1" ht="30.5" customHeight="1">
      <c r="A9" s="97" t="s">
        <v>519</v>
      </c>
      <c r="B9" s="8"/>
      <c r="C9" s="345"/>
      <c r="D9" s="330" t="s">
        <v>476</v>
      </c>
      <c r="E9" s="205" t="s">
        <v>520</v>
      </c>
    </row>
    <row r="10" spans="1:13" s="4" customFormat="1" ht="13.25" customHeight="1">
      <c r="A10" s="335" t="str">
        <f>'Mid Case'!A21</f>
        <v>IRR - Mid Case</v>
      </c>
      <c r="B10" s="198" t="str">
        <f>'Mid Case'!B21</f>
        <v>% Real</v>
      </c>
      <c r="C10" s="346">
        <f>'Mid Case'!C21</f>
        <v>0.14966156582939294</v>
      </c>
      <c r="D10" s="331">
        <f>D$5</f>
        <v>0.55000000000000004</v>
      </c>
      <c r="E10" s="206">
        <f>C10*D10</f>
        <v>8.2313861206166128E-2</v>
      </c>
    </row>
    <row r="11" spans="1:13" s="4" customFormat="1" ht="13.25" customHeight="1">
      <c r="A11" s="335" t="str">
        <f>'Low Case'!A21</f>
        <v>IRR - Low Case</v>
      </c>
      <c r="B11" s="198" t="str">
        <f>'Low Case'!B21</f>
        <v>% Real</v>
      </c>
      <c r="C11" s="347">
        <f>'Low Case'!C21</f>
        <v>-0.13339043027251685</v>
      </c>
      <c r="D11" s="331">
        <f>D$6</f>
        <v>0.3</v>
      </c>
      <c r="E11" s="329">
        <f t="shared" ref="E11:E12" si="1">C11*D11</f>
        <v>-4.0017129081755053E-2</v>
      </c>
    </row>
    <row r="12" spans="1:13" s="4" customFormat="1" ht="13.25" customHeight="1">
      <c r="A12" s="335" t="str">
        <f>'High Case'!A21</f>
        <v>IRR - High Case</v>
      </c>
      <c r="B12" s="198" t="str">
        <f>'High Case'!B21</f>
        <v>% Real</v>
      </c>
      <c r="C12" s="346">
        <f>'High Case'!C21</f>
        <v>0.29999477374974504</v>
      </c>
      <c r="D12" s="331">
        <f>D$7</f>
        <v>0.15</v>
      </c>
      <c r="E12" s="206">
        <f t="shared" si="1"/>
        <v>4.4999216062461753E-2</v>
      </c>
    </row>
    <row r="13" spans="1:13" s="4" customFormat="1" ht="19.5" customHeight="1">
      <c r="A13" s="336" t="s">
        <v>521</v>
      </c>
      <c r="B13" s="198"/>
      <c r="C13" s="344"/>
      <c r="D13" s="332">
        <f>SUM(D10:D12)</f>
        <v>1</v>
      </c>
      <c r="E13" s="210">
        <f>SUM(E10:E12)</f>
        <v>8.7295948186872835E-2</v>
      </c>
    </row>
    <row r="14" spans="1:13" s="4" customFormat="1" ht="30.5" customHeight="1">
      <c r="A14" s="97" t="s">
        <v>628</v>
      </c>
      <c r="B14" s="8"/>
      <c r="C14" s="345"/>
      <c r="D14" s="330" t="s">
        <v>476</v>
      </c>
      <c r="E14" s="205" t="s">
        <v>517</v>
      </c>
    </row>
    <row r="15" spans="1:13" s="4" customFormat="1" ht="13.25" customHeight="1">
      <c r="A15" s="334" t="str">
        <f>'Mid Case'!A748</f>
        <v>Cash Generation - Mid Case</v>
      </c>
      <c r="B15" s="198" t="str">
        <f>'Mid Case'!B748</f>
        <v>US$ millions Real</v>
      </c>
      <c r="C15" s="343">
        <f>'Mid Case'!C748</f>
        <v>1315.9826421615026</v>
      </c>
      <c r="D15" s="331">
        <f>D$5</f>
        <v>0.55000000000000004</v>
      </c>
      <c r="E15" s="202">
        <f>C15*D15</f>
        <v>723.79045318882652</v>
      </c>
    </row>
    <row r="16" spans="1:13" s="4" customFormat="1" ht="13.25" customHeight="1">
      <c r="A16" s="334" t="str">
        <f>'Low Case'!A748</f>
        <v>Cash Generation - Low Case</v>
      </c>
      <c r="B16" s="198" t="str">
        <f>'Low Case'!B748</f>
        <v>US$ millions Real</v>
      </c>
      <c r="C16" s="343">
        <f>'Low Case'!C748</f>
        <v>-630.89178310235059</v>
      </c>
      <c r="D16" s="331">
        <f>D$6</f>
        <v>0.3</v>
      </c>
      <c r="E16" s="202">
        <f t="shared" ref="E16:E17" si="2">C16*D16</f>
        <v>-189.26753493070518</v>
      </c>
    </row>
    <row r="17" spans="1:5" s="4" customFormat="1" ht="13.25" customHeight="1">
      <c r="A17" s="334" t="str">
        <f>'High Case'!A748</f>
        <v>Cash Generation - High Case</v>
      </c>
      <c r="B17" s="198" t="str">
        <f>'High Case'!B748</f>
        <v>US$ millions Real</v>
      </c>
      <c r="C17" s="343">
        <f>'High Case'!C748</f>
        <v>2764.4954244937462</v>
      </c>
      <c r="D17" s="331">
        <f>D$7</f>
        <v>0.15</v>
      </c>
      <c r="E17" s="202">
        <f t="shared" si="2"/>
        <v>414.67431367406192</v>
      </c>
    </row>
    <row r="18" spans="1:5" s="4" customFormat="1" ht="21" customHeight="1">
      <c r="A18" s="336" t="s">
        <v>527</v>
      </c>
      <c r="B18" s="198"/>
      <c r="C18" s="199"/>
      <c r="D18" s="332">
        <f>SUM(D15:D17)</f>
        <v>1</v>
      </c>
      <c r="E18" s="209">
        <f>SUM(E15:E17)</f>
        <v>949.19723193218329</v>
      </c>
    </row>
    <row r="19" spans="1:5" s="4" customFormat="1" ht="26" customHeight="1">
      <c r="A19" s="97" t="s">
        <v>7</v>
      </c>
      <c r="B19" s="8"/>
      <c r="C19" s="3"/>
      <c r="E19" s="202"/>
    </row>
    <row r="20" spans="1:5" s="4" customFormat="1" ht="13.25" customHeight="1">
      <c r="A20" s="334" t="str">
        <f>'Mid Case'!A170</f>
        <v>copper conc - contained copper - mid case</v>
      </c>
      <c r="B20" s="198" t="str">
        <f>'Mid Case'!B170</f>
        <v>000 tonnes Cu</v>
      </c>
      <c r="C20" s="200">
        <f>'Mid Case'!C170</f>
        <v>954.6239999999998</v>
      </c>
      <c r="D20" s="201"/>
      <c r="E20" s="202"/>
    </row>
    <row r="21" spans="1:5" s="4" customFormat="1" ht="13.25" customHeight="1">
      <c r="A21" s="334" t="str">
        <f>'Low Case'!A170</f>
        <v>copper conc - contained copper - Low Case</v>
      </c>
      <c r="B21" s="198" t="str">
        <f>'Low Case'!B170</f>
        <v>000 tonnes Cu</v>
      </c>
      <c r="C21" s="200">
        <f>'Low Case'!C170</f>
        <v>727.10399999999981</v>
      </c>
      <c r="D21" s="201"/>
      <c r="E21" s="202"/>
    </row>
    <row r="22" spans="1:5" s="4" customFormat="1" ht="13.25" customHeight="1">
      <c r="A22" s="334" t="str">
        <f>'High Case'!A170</f>
        <v>copper conc - contained copper - High Case</v>
      </c>
      <c r="B22" s="198" t="str">
        <f>'High Case'!B170</f>
        <v>000 tonnes Cu</v>
      </c>
      <c r="C22" s="200">
        <f>'High Case'!C170</f>
        <v>954.6239999999998</v>
      </c>
      <c r="D22" s="201"/>
      <c r="E22" s="202"/>
    </row>
    <row r="23" spans="1:5" s="4" customFormat="1" ht="13.25" customHeight="1">
      <c r="A23" s="334"/>
      <c r="B23" s="198"/>
      <c r="C23" s="199"/>
      <c r="D23" s="201"/>
      <c r="E23" s="202"/>
    </row>
    <row r="24" spans="1:5" s="4" customFormat="1" ht="14.5" customHeight="1">
      <c r="A24" s="97" t="s">
        <v>415</v>
      </c>
      <c r="B24" s="8"/>
      <c r="C24" s="3"/>
      <c r="D24" s="201"/>
      <c r="E24" s="202"/>
    </row>
    <row r="25" spans="1:5" s="4" customFormat="1" ht="13.25" customHeight="1">
      <c r="A25" s="334" t="str">
        <f>'Mid Case'!A346</f>
        <v>Initial capex - mid case</v>
      </c>
      <c r="B25" s="198" t="str">
        <f>'Mid Case'!B346</f>
        <v>A$ million Real</v>
      </c>
      <c r="C25" s="200">
        <f>'Mid Case'!C346</f>
        <v>1227</v>
      </c>
      <c r="D25" s="201"/>
      <c r="E25" s="202"/>
    </row>
    <row r="26" spans="1:5" s="4" customFormat="1" ht="13.25" customHeight="1">
      <c r="A26" s="334" t="str">
        <f>'Low Case'!A346</f>
        <v>Initial capex - Low Case</v>
      </c>
      <c r="B26" s="198" t="str">
        <f>'Low Case'!B346</f>
        <v>A$ million Real</v>
      </c>
      <c r="C26" s="200">
        <f>'Low Case'!C346</f>
        <v>1397</v>
      </c>
      <c r="D26" s="201"/>
      <c r="E26" s="202"/>
    </row>
    <row r="27" spans="1:5" s="4" customFormat="1" ht="13.25" customHeight="1">
      <c r="A27" s="334" t="str">
        <f>'High Case'!A346</f>
        <v>Initial capex - High Case</v>
      </c>
      <c r="B27" s="198" t="str">
        <f>'High Case'!B346</f>
        <v>A$ million Real</v>
      </c>
      <c r="C27" s="200">
        <f>'High Case'!C346</f>
        <v>828</v>
      </c>
      <c r="D27" s="201"/>
      <c r="E27" s="202"/>
    </row>
    <row r="28" spans="1:5" s="4" customFormat="1" ht="13.25" customHeight="1">
      <c r="A28" s="334"/>
      <c r="B28" s="198"/>
      <c r="C28" s="199"/>
      <c r="D28" s="201"/>
      <c r="E28" s="202"/>
    </row>
    <row r="29" spans="1:5" s="4" customFormat="1" ht="14.5" customHeight="1">
      <c r="A29" s="97" t="s">
        <v>526</v>
      </c>
      <c r="B29" s="8"/>
      <c r="C29" s="3"/>
      <c r="D29" s="201"/>
      <c r="E29" s="202"/>
    </row>
    <row r="30" spans="1:5" s="4" customFormat="1" ht="13.25" customHeight="1">
      <c r="A30" s="334" t="str">
        <f>'Mid Case'!A655</f>
        <v>Opex plus Royalty less Credits - mid case</v>
      </c>
      <c r="B30" s="198" t="str">
        <f>'Mid Case'!B655</f>
        <v>US$/lb copper</v>
      </c>
      <c r="C30" s="208">
        <f>'Mid Case'!C655</f>
        <v>2.2059125929741081</v>
      </c>
      <c r="D30" s="201"/>
      <c r="E30" s="202"/>
    </row>
    <row r="31" spans="1:5" s="4" customFormat="1" ht="13.25" customHeight="1">
      <c r="A31" s="334" t="str">
        <f>'Low Case'!A655</f>
        <v>Opex plus Royalty less Credits - Low Case</v>
      </c>
      <c r="B31" s="198" t="str">
        <f>'Low Case'!B655</f>
        <v>US$/lb copper</v>
      </c>
      <c r="C31" s="208">
        <f>'Low Case'!C655</f>
        <v>2.674250891120193</v>
      </c>
      <c r="D31" s="201"/>
      <c r="E31" s="202"/>
    </row>
    <row r="32" spans="1:5" s="4" customFormat="1" ht="13.25" customHeight="1">
      <c r="A32" s="334" t="str">
        <f>'High Case'!A655</f>
        <v>Opex plus Royalty less Credits - High Case</v>
      </c>
      <c r="B32" s="198" t="str">
        <f>'High Case'!B655</f>
        <v>US$/lb copper</v>
      </c>
      <c r="C32" s="208">
        <f>'High Case'!C655</f>
        <v>2.345210211143876</v>
      </c>
      <c r="D32" s="201"/>
      <c r="E32" s="202"/>
    </row>
    <row r="33" spans="1:30" s="4" customFormat="1" ht="13.25" customHeight="1">
      <c r="A33" s="198"/>
      <c r="B33" s="198"/>
      <c r="C33" s="199"/>
      <c r="D33" s="201"/>
      <c r="E33" s="202"/>
    </row>
    <row r="34" spans="1:30" s="122" customFormat="1" ht="65" customHeight="1">
      <c r="A34" s="123" t="s">
        <v>34</v>
      </c>
    </row>
    <row r="35" spans="1:30" s="8" customFormat="1">
      <c r="C35" s="3"/>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s="8" customFormat="1" ht="14.5" customHeight="1">
      <c r="A36" s="211" t="s">
        <v>154</v>
      </c>
      <c r="B36" s="211" t="s">
        <v>5</v>
      </c>
      <c r="C36" s="212" t="s">
        <v>6</v>
      </c>
      <c r="D36" s="213">
        <v>2027</v>
      </c>
      <c r="E36" s="213">
        <f t="shared" ref="E36:AD36" si="3">D36+1</f>
        <v>2028</v>
      </c>
      <c r="F36" s="213">
        <f t="shared" si="3"/>
        <v>2029</v>
      </c>
      <c r="G36" s="213">
        <f t="shared" si="3"/>
        <v>2030</v>
      </c>
      <c r="H36" s="213">
        <f t="shared" si="3"/>
        <v>2031</v>
      </c>
      <c r="I36" s="213">
        <f t="shared" si="3"/>
        <v>2032</v>
      </c>
      <c r="J36" s="213">
        <f t="shared" si="3"/>
        <v>2033</v>
      </c>
      <c r="K36" s="213">
        <f t="shared" si="3"/>
        <v>2034</v>
      </c>
      <c r="L36" s="213">
        <f t="shared" si="3"/>
        <v>2035</v>
      </c>
      <c r="M36" s="213">
        <f t="shared" si="3"/>
        <v>2036</v>
      </c>
      <c r="N36" s="213">
        <f t="shared" si="3"/>
        <v>2037</v>
      </c>
      <c r="O36" s="213">
        <f t="shared" si="3"/>
        <v>2038</v>
      </c>
      <c r="P36" s="213">
        <f t="shared" si="3"/>
        <v>2039</v>
      </c>
      <c r="Q36" s="213">
        <f t="shared" si="3"/>
        <v>2040</v>
      </c>
      <c r="R36" s="213">
        <f t="shared" si="3"/>
        <v>2041</v>
      </c>
      <c r="S36" s="213">
        <f t="shared" si="3"/>
        <v>2042</v>
      </c>
      <c r="T36" s="213">
        <f t="shared" si="3"/>
        <v>2043</v>
      </c>
      <c r="U36" s="213">
        <f t="shared" si="3"/>
        <v>2044</v>
      </c>
      <c r="V36" s="213">
        <f t="shared" si="3"/>
        <v>2045</v>
      </c>
      <c r="W36" s="213">
        <f t="shared" si="3"/>
        <v>2046</v>
      </c>
      <c r="X36" s="213">
        <f t="shared" si="3"/>
        <v>2047</v>
      </c>
      <c r="Y36" s="213">
        <f t="shared" si="3"/>
        <v>2048</v>
      </c>
      <c r="Z36" s="213">
        <f t="shared" si="3"/>
        <v>2049</v>
      </c>
      <c r="AA36" s="213">
        <f t="shared" si="3"/>
        <v>2050</v>
      </c>
      <c r="AB36" s="213">
        <f t="shared" si="3"/>
        <v>2051</v>
      </c>
      <c r="AC36" s="213">
        <f t="shared" si="3"/>
        <v>2052</v>
      </c>
      <c r="AD36" s="213">
        <f t="shared" si="3"/>
        <v>2053</v>
      </c>
    </row>
    <row r="37" spans="1:30" s="8" customFormat="1">
      <c r="A37" s="211" t="s">
        <v>528</v>
      </c>
      <c r="B37" s="211"/>
      <c r="C37" s="212"/>
      <c r="D37" s="213"/>
      <c r="E37" s="213"/>
      <c r="F37" s="213">
        <f t="shared" ref="F37:AD37" si="4">E37+1</f>
        <v>1</v>
      </c>
      <c r="G37" s="213">
        <f t="shared" si="4"/>
        <v>2</v>
      </c>
      <c r="H37" s="213">
        <f t="shared" si="4"/>
        <v>3</v>
      </c>
      <c r="I37" s="213">
        <f t="shared" si="4"/>
        <v>4</v>
      </c>
      <c r="J37" s="213">
        <f t="shared" si="4"/>
        <v>5</v>
      </c>
      <c r="K37" s="213">
        <f t="shared" si="4"/>
        <v>6</v>
      </c>
      <c r="L37" s="213">
        <f t="shared" si="4"/>
        <v>7</v>
      </c>
      <c r="M37" s="213">
        <f t="shared" si="4"/>
        <v>8</v>
      </c>
      <c r="N37" s="213">
        <f t="shared" si="4"/>
        <v>9</v>
      </c>
      <c r="O37" s="213">
        <f t="shared" si="4"/>
        <v>10</v>
      </c>
      <c r="P37" s="213">
        <f t="shared" si="4"/>
        <v>11</v>
      </c>
      <c r="Q37" s="213">
        <f t="shared" si="4"/>
        <v>12</v>
      </c>
      <c r="R37" s="213">
        <f t="shared" si="4"/>
        <v>13</v>
      </c>
      <c r="S37" s="213">
        <f t="shared" si="4"/>
        <v>14</v>
      </c>
      <c r="T37" s="213">
        <f t="shared" si="4"/>
        <v>15</v>
      </c>
      <c r="U37" s="213">
        <f t="shared" si="4"/>
        <v>16</v>
      </c>
      <c r="V37" s="213">
        <f t="shared" si="4"/>
        <v>17</v>
      </c>
      <c r="W37" s="213">
        <f t="shared" si="4"/>
        <v>18</v>
      </c>
      <c r="X37" s="213">
        <f t="shared" si="4"/>
        <v>19</v>
      </c>
      <c r="Y37" s="213">
        <f t="shared" si="4"/>
        <v>20</v>
      </c>
      <c r="Z37" s="213">
        <f t="shared" si="4"/>
        <v>21</v>
      </c>
      <c r="AA37" s="213">
        <f t="shared" si="4"/>
        <v>22</v>
      </c>
      <c r="AB37" s="213">
        <f t="shared" si="4"/>
        <v>23</v>
      </c>
      <c r="AC37" s="213">
        <f t="shared" si="4"/>
        <v>24</v>
      </c>
      <c r="AD37" s="213">
        <f t="shared" si="4"/>
        <v>25</v>
      </c>
    </row>
    <row r="38" spans="1:30" s="18" customFormat="1" ht="32.4" customHeight="1">
      <c r="A38" s="23" t="s">
        <v>629</v>
      </c>
      <c r="C38" s="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row>
    <row r="39" spans="1:30" s="45" customFormat="1" ht="15" customHeight="1">
      <c r="A39" s="282" t="s">
        <v>630</v>
      </c>
      <c r="C39" s="42"/>
      <c r="D39" s="42"/>
      <c r="E39" s="42"/>
      <c r="F39" s="42"/>
      <c r="G39" s="42"/>
      <c r="H39" s="42"/>
      <c r="I39" s="42"/>
      <c r="J39" s="42"/>
      <c r="K39" s="42"/>
      <c r="L39" s="42"/>
      <c r="M39" s="42"/>
      <c r="N39" s="42"/>
      <c r="O39" s="42"/>
      <c r="P39" s="42"/>
      <c r="Q39" s="42"/>
      <c r="R39" s="42"/>
      <c r="S39" s="42"/>
      <c r="T39" s="42"/>
      <c r="U39" s="42"/>
      <c r="V39" s="42"/>
      <c r="W39" s="42"/>
      <c r="X39" s="42"/>
    </row>
    <row r="40" spans="1:30" s="18" customFormat="1" ht="32.4" customHeight="1">
      <c r="A40" s="23" t="s">
        <v>378</v>
      </c>
      <c r="C40" s="6"/>
      <c r="D40" s="86"/>
      <c r="E40" s="86"/>
      <c r="F40" s="86"/>
      <c r="G40" s="86"/>
      <c r="H40" s="86"/>
      <c r="I40" s="86"/>
      <c r="J40" s="86"/>
      <c r="K40" s="86"/>
      <c r="L40" s="86"/>
      <c r="M40" s="86"/>
      <c r="N40" s="86"/>
      <c r="O40" s="86"/>
      <c r="P40" s="86"/>
      <c r="Q40" s="86"/>
      <c r="R40" s="86"/>
      <c r="S40" s="86"/>
      <c r="T40" s="86"/>
      <c r="U40" s="86"/>
      <c r="V40" s="86"/>
      <c r="W40" s="86"/>
      <c r="X40" s="86"/>
      <c r="Y40" s="86"/>
      <c r="Z40" s="86"/>
      <c r="AA40" s="86"/>
      <c r="AB40" s="86"/>
      <c r="AC40" s="86"/>
      <c r="AD40" s="86"/>
    </row>
    <row r="41" spans="1:30" s="134" customFormat="1" ht="13">
      <c r="A41" s="134" t="s">
        <v>529</v>
      </c>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row>
    <row r="42" spans="1:30" s="13" customFormat="1" ht="14.5">
      <c r="A42" s="1" t="s">
        <v>51</v>
      </c>
      <c r="C42" s="15"/>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row>
    <row r="43" spans="1:30" s="13" customFormat="1" ht="13">
      <c r="A43" s="214" t="s">
        <v>45</v>
      </c>
      <c r="B43" s="214" t="s">
        <v>88</v>
      </c>
      <c r="C43" s="215"/>
      <c r="D43" s="216">
        <v>3.2500000000000001E-2</v>
      </c>
      <c r="E43" s="216">
        <f t="shared" ref="E43:K44" si="5">D43</f>
        <v>3.2500000000000001E-2</v>
      </c>
      <c r="F43" s="216">
        <f t="shared" si="5"/>
        <v>3.2500000000000001E-2</v>
      </c>
      <c r="G43" s="216">
        <f t="shared" si="5"/>
        <v>3.2500000000000001E-2</v>
      </c>
      <c r="H43" s="216">
        <f t="shared" si="5"/>
        <v>3.2500000000000001E-2</v>
      </c>
      <c r="I43" s="216">
        <f t="shared" si="5"/>
        <v>3.2500000000000001E-2</v>
      </c>
      <c r="J43" s="216">
        <f t="shared" si="5"/>
        <v>3.2500000000000001E-2</v>
      </c>
      <c r="K43" s="216">
        <f t="shared" si="5"/>
        <v>3.2500000000000001E-2</v>
      </c>
      <c r="L43" s="216">
        <f t="shared" ref="L43:L47" si="6">K43</f>
        <v>3.2500000000000001E-2</v>
      </c>
      <c r="M43" s="216">
        <f t="shared" ref="M43:M47" si="7">L43</f>
        <v>3.2500000000000001E-2</v>
      </c>
      <c r="N43" s="216">
        <f t="shared" ref="N43:N47" si="8">M43</f>
        <v>3.2500000000000001E-2</v>
      </c>
      <c r="O43" s="216">
        <f t="shared" ref="O43:O47" si="9">N43</f>
        <v>3.2500000000000001E-2</v>
      </c>
      <c r="P43" s="216">
        <f t="shared" ref="P43:P47" si="10">O43</f>
        <v>3.2500000000000001E-2</v>
      </c>
      <c r="Q43" s="216">
        <f t="shared" ref="Q43:Q47" si="11">P43</f>
        <v>3.2500000000000001E-2</v>
      </c>
      <c r="R43" s="216">
        <f t="shared" ref="R43:R47" si="12">Q43</f>
        <v>3.2500000000000001E-2</v>
      </c>
      <c r="S43" s="216">
        <f t="shared" ref="S43:S47" si="13">R43</f>
        <v>3.2500000000000001E-2</v>
      </c>
      <c r="T43" s="216">
        <f t="shared" ref="T43:T47" si="14">S43</f>
        <v>3.2500000000000001E-2</v>
      </c>
      <c r="U43" s="216">
        <f t="shared" ref="U43:U47" si="15">T43</f>
        <v>3.2500000000000001E-2</v>
      </c>
      <c r="V43" s="216">
        <f t="shared" ref="V43:V47" si="16">U43</f>
        <v>3.2500000000000001E-2</v>
      </c>
      <c r="W43" s="216">
        <f t="shared" ref="W43:W47" si="17">V43</f>
        <v>3.2500000000000001E-2</v>
      </c>
      <c r="X43" s="216">
        <f t="shared" ref="X43:X47" si="18">W43</f>
        <v>3.2500000000000001E-2</v>
      </c>
      <c r="Y43" s="216">
        <f t="shared" ref="Y43:Y47" si="19">X43</f>
        <v>3.2500000000000001E-2</v>
      </c>
      <c r="Z43" s="216">
        <f t="shared" ref="Z43:Z47" si="20">Y43</f>
        <v>3.2500000000000001E-2</v>
      </c>
      <c r="AA43" s="216">
        <f t="shared" ref="AA43:AA47" si="21">Z43</f>
        <v>3.2500000000000001E-2</v>
      </c>
      <c r="AB43" s="216">
        <f t="shared" ref="AB43:AB47" si="22">AA43</f>
        <v>3.2500000000000001E-2</v>
      </c>
      <c r="AC43" s="216">
        <f t="shared" ref="AC43:AC47" si="23">AB43</f>
        <v>3.2500000000000001E-2</v>
      </c>
      <c r="AD43" s="216">
        <f t="shared" ref="AD43:AD47" si="24">AC43</f>
        <v>3.2500000000000001E-2</v>
      </c>
    </row>
    <row r="44" spans="1:30" s="13" customFormat="1" ht="13">
      <c r="A44" s="214" t="s">
        <v>53</v>
      </c>
      <c r="B44" s="214" t="s">
        <v>35</v>
      </c>
      <c r="C44" s="42"/>
      <c r="D44" s="217">
        <v>0.35</v>
      </c>
      <c r="E44" s="217">
        <f t="shared" si="5"/>
        <v>0.35</v>
      </c>
      <c r="F44" s="217">
        <f t="shared" si="5"/>
        <v>0.35</v>
      </c>
      <c r="G44" s="217">
        <f t="shared" si="5"/>
        <v>0.35</v>
      </c>
      <c r="H44" s="217">
        <f t="shared" si="5"/>
        <v>0.35</v>
      </c>
      <c r="I44" s="217">
        <f t="shared" si="5"/>
        <v>0.35</v>
      </c>
      <c r="J44" s="217">
        <f t="shared" si="5"/>
        <v>0.35</v>
      </c>
      <c r="K44" s="217">
        <f t="shared" si="5"/>
        <v>0.35</v>
      </c>
      <c r="L44" s="217">
        <f t="shared" si="6"/>
        <v>0.35</v>
      </c>
      <c r="M44" s="217">
        <f t="shared" si="7"/>
        <v>0.35</v>
      </c>
      <c r="N44" s="217">
        <f t="shared" si="8"/>
        <v>0.35</v>
      </c>
      <c r="O44" s="217">
        <f t="shared" si="9"/>
        <v>0.35</v>
      </c>
      <c r="P44" s="217">
        <f t="shared" si="10"/>
        <v>0.35</v>
      </c>
      <c r="Q44" s="217">
        <f t="shared" si="11"/>
        <v>0.35</v>
      </c>
      <c r="R44" s="217">
        <f t="shared" si="12"/>
        <v>0.35</v>
      </c>
      <c r="S44" s="217">
        <f t="shared" si="13"/>
        <v>0.35</v>
      </c>
      <c r="T44" s="217">
        <f t="shared" si="14"/>
        <v>0.35</v>
      </c>
      <c r="U44" s="217">
        <f t="shared" si="15"/>
        <v>0.35</v>
      </c>
      <c r="V44" s="217">
        <f t="shared" si="16"/>
        <v>0.35</v>
      </c>
      <c r="W44" s="217">
        <f t="shared" si="17"/>
        <v>0.35</v>
      </c>
      <c r="X44" s="217">
        <f t="shared" si="18"/>
        <v>0.35</v>
      </c>
      <c r="Y44" s="217">
        <f t="shared" si="19"/>
        <v>0.35</v>
      </c>
      <c r="Z44" s="217">
        <f t="shared" si="20"/>
        <v>0.35</v>
      </c>
      <c r="AA44" s="217">
        <f t="shared" si="21"/>
        <v>0.35</v>
      </c>
      <c r="AB44" s="217">
        <f t="shared" si="22"/>
        <v>0.35</v>
      </c>
      <c r="AC44" s="217">
        <f t="shared" si="23"/>
        <v>0.35</v>
      </c>
      <c r="AD44" s="217">
        <f t="shared" si="24"/>
        <v>0.35</v>
      </c>
    </row>
    <row r="45" spans="1:30" s="13" customFormat="1" ht="13">
      <c r="A45" s="214" t="s">
        <v>45</v>
      </c>
      <c r="B45" s="214" t="s">
        <v>88</v>
      </c>
      <c r="C45" s="215"/>
      <c r="D45" s="216">
        <v>3.3500000000000002E-2</v>
      </c>
      <c r="E45" s="216">
        <f t="shared" ref="E45:K45" si="25">D45</f>
        <v>3.3500000000000002E-2</v>
      </c>
      <c r="F45" s="216">
        <f t="shared" si="25"/>
        <v>3.3500000000000002E-2</v>
      </c>
      <c r="G45" s="216">
        <f t="shared" si="25"/>
        <v>3.3500000000000002E-2</v>
      </c>
      <c r="H45" s="216">
        <f t="shared" si="25"/>
        <v>3.3500000000000002E-2</v>
      </c>
      <c r="I45" s="216">
        <f t="shared" si="25"/>
        <v>3.3500000000000002E-2</v>
      </c>
      <c r="J45" s="216">
        <f t="shared" si="25"/>
        <v>3.3500000000000002E-2</v>
      </c>
      <c r="K45" s="216">
        <f t="shared" si="25"/>
        <v>3.3500000000000002E-2</v>
      </c>
      <c r="L45" s="216">
        <f t="shared" si="6"/>
        <v>3.3500000000000002E-2</v>
      </c>
      <c r="M45" s="216">
        <f t="shared" si="7"/>
        <v>3.3500000000000002E-2</v>
      </c>
      <c r="N45" s="216">
        <f t="shared" si="8"/>
        <v>3.3500000000000002E-2</v>
      </c>
      <c r="O45" s="216">
        <f t="shared" si="9"/>
        <v>3.3500000000000002E-2</v>
      </c>
      <c r="P45" s="216">
        <f t="shared" si="10"/>
        <v>3.3500000000000002E-2</v>
      </c>
      <c r="Q45" s="216">
        <f t="shared" si="11"/>
        <v>3.3500000000000002E-2</v>
      </c>
      <c r="R45" s="216">
        <f t="shared" si="12"/>
        <v>3.3500000000000002E-2</v>
      </c>
      <c r="S45" s="216">
        <f t="shared" si="13"/>
        <v>3.3500000000000002E-2</v>
      </c>
      <c r="T45" s="216">
        <f t="shared" si="14"/>
        <v>3.3500000000000002E-2</v>
      </c>
      <c r="U45" s="216">
        <f t="shared" si="15"/>
        <v>3.3500000000000002E-2</v>
      </c>
      <c r="V45" s="216">
        <f t="shared" si="16"/>
        <v>3.3500000000000002E-2</v>
      </c>
      <c r="W45" s="216">
        <f t="shared" si="17"/>
        <v>3.3500000000000002E-2</v>
      </c>
      <c r="X45" s="216">
        <f t="shared" si="18"/>
        <v>3.3500000000000002E-2</v>
      </c>
      <c r="Y45" s="216">
        <f t="shared" si="19"/>
        <v>3.3500000000000002E-2</v>
      </c>
      <c r="Z45" s="216">
        <f t="shared" si="20"/>
        <v>3.3500000000000002E-2</v>
      </c>
      <c r="AA45" s="216">
        <f t="shared" si="21"/>
        <v>3.3500000000000002E-2</v>
      </c>
      <c r="AB45" s="216">
        <f t="shared" si="22"/>
        <v>3.3500000000000002E-2</v>
      </c>
      <c r="AC45" s="216">
        <f t="shared" si="23"/>
        <v>3.3500000000000002E-2</v>
      </c>
      <c r="AD45" s="216">
        <f t="shared" si="24"/>
        <v>3.3500000000000002E-2</v>
      </c>
    </row>
    <row r="46" spans="1:30" s="13" customFormat="1" ht="13">
      <c r="A46" s="214" t="s">
        <v>53</v>
      </c>
      <c r="B46" s="214" t="s">
        <v>35</v>
      </c>
      <c r="C46" s="42"/>
      <c r="D46" s="217">
        <v>0.3</v>
      </c>
      <c r="E46" s="217">
        <f t="shared" ref="E46:K47" si="26">D46</f>
        <v>0.3</v>
      </c>
      <c r="F46" s="217">
        <f t="shared" si="26"/>
        <v>0.3</v>
      </c>
      <c r="G46" s="217">
        <f t="shared" si="26"/>
        <v>0.3</v>
      </c>
      <c r="H46" s="217">
        <f t="shared" si="26"/>
        <v>0.3</v>
      </c>
      <c r="I46" s="217">
        <f t="shared" si="26"/>
        <v>0.3</v>
      </c>
      <c r="J46" s="217">
        <f t="shared" si="26"/>
        <v>0.3</v>
      </c>
      <c r="K46" s="217">
        <f t="shared" si="26"/>
        <v>0.3</v>
      </c>
      <c r="L46" s="217">
        <f t="shared" si="6"/>
        <v>0.3</v>
      </c>
      <c r="M46" s="217">
        <f t="shared" si="7"/>
        <v>0.3</v>
      </c>
      <c r="N46" s="217">
        <f t="shared" si="8"/>
        <v>0.3</v>
      </c>
      <c r="O46" s="217">
        <f t="shared" si="9"/>
        <v>0.3</v>
      </c>
      <c r="P46" s="217">
        <f t="shared" si="10"/>
        <v>0.3</v>
      </c>
      <c r="Q46" s="217">
        <f t="shared" si="11"/>
        <v>0.3</v>
      </c>
      <c r="R46" s="217">
        <f t="shared" si="12"/>
        <v>0.3</v>
      </c>
      <c r="S46" s="217">
        <f t="shared" si="13"/>
        <v>0.3</v>
      </c>
      <c r="T46" s="217">
        <f t="shared" si="14"/>
        <v>0.3</v>
      </c>
      <c r="U46" s="217">
        <f t="shared" si="15"/>
        <v>0.3</v>
      </c>
      <c r="V46" s="217">
        <f t="shared" si="16"/>
        <v>0.3</v>
      </c>
      <c r="W46" s="217">
        <f t="shared" si="17"/>
        <v>0.3</v>
      </c>
      <c r="X46" s="217">
        <f t="shared" si="18"/>
        <v>0.3</v>
      </c>
      <c r="Y46" s="217">
        <f t="shared" si="19"/>
        <v>0.3</v>
      </c>
      <c r="Z46" s="217">
        <f t="shared" si="20"/>
        <v>0.3</v>
      </c>
      <c r="AA46" s="217">
        <f t="shared" si="21"/>
        <v>0.3</v>
      </c>
      <c r="AB46" s="217">
        <f t="shared" si="22"/>
        <v>0.3</v>
      </c>
      <c r="AC46" s="217">
        <f t="shared" si="23"/>
        <v>0.3</v>
      </c>
      <c r="AD46" s="217">
        <f t="shared" si="24"/>
        <v>0.3</v>
      </c>
    </row>
    <row r="47" spans="1:30" s="13" customFormat="1" ht="13">
      <c r="A47" s="214" t="s">
        <v>45</v>
      </c>
      <c r="B47" s="214" t="s">
        <v>88</v>
      </c>
      <c r="C47" s="215"/>
      <c r="D47" s="216">
        <v>3.5000000000000003E-2</v>
      </c>
      <c r="E47" s="216">
        <f t="shared" si="26"/>
        <v>3.5000000000000003E-2</v>
      </c>
      <c r="F47" s="216">
        <f t="shared" si="26"/>
        <v>3.5000000000000003E-2</v>
      </c>
      <c r="G47" s="216">
        <f t="shared" si="26"/>
        <v>3.5000000000000003E-2</v>
      </c>
      <c r="H47" s="216">
        <f t="shared" si="26"/>
        <v>3.5000000000000003E-2</v>
      </c>
      <c r="I47" s="216">
        <f t="shared" si="26"/>
        <v>3.5000000000000003E-2</v>
      </c>
      <c r="J47" s="216">
        <f t="shared" si="26"/>
        <v>3.5000000000000003E-2</v>
      </c>
      <c r="K47" s="216">
        <f t="shared" si="26"/>
        <v>3.5000000000000003E-2</v>
      </c>
      <c r="L47" s="216">
        <f t="shared" si="6"/>
        <v>3.5000000000000003E-2</v>
      </c>
      <c r="M47" s="216">
        <f t="shared" si="7"/>
        <v>3.5000000000000003E-2</v>
      </c>
      <c r="N47" s="216">
        <f t="shared" si="8"/>
        <v>3.5000000000000003E-2</v>
      </c>
      <c r="O47" s="216">
        <f t="shared" si="9"/>
        <v>3.5000000000000003E-2</v>
      </c>
      <c r="P47" s="216">
        <f t="shared" si="10"/>
        <v>3.5000000000000003E-2</v>
      </c>
      <c r="Q47" s="216">
        <f t="shared" si="11"/>
        <v>3.5000000000000003E-2</v>
      </c>
      <c r="R47" s="216">
        <f t="shared" si="12"/>
        <v>3.5000000000000003E-2</v>
      </c>
      <c r="S47" s="216">
        <f t="shared" si="13"/>
        <v>3.5000000000000003E-2</v>
      </c>
      <c r="T47" s="216">
        <f t="shared" si="14"/>
        <v>3.5000000000000003E-2</v>
      </c>
      <c r="U47" s="216">
        <f t="shared" si="15"/>
        <v>3.5000000000000003E-2</v>
      </c>
      <c r="V47" s="216">
        <f t="shared" si="16"/>
        <v>3.5000000000000003E-2</v>
      </c>
      <c r="W47" s="216">
        <f t="shared" si="17"/>
        <v>3.5000000000000003E-2</v>
      </c>
      <c r="X47" s="216">
        <f t="shared" si="18"/>
        <v>3.5000000000000003E-2</v>
      </c>
      <c r="Y47" s="216">
        <f t="shared" si="19"/>
        <v>3.5000000000000003E-2</v>
      </c>
      <c r="Z47" s="216">
        <f t="shared" si="20"/>
        <v>3.5000000000000003E-2</v>
      </c>
      <c r="AA47" s="216">
        <f t="shared" si="21"/>
        <v>3.5000000000000003E-2</v>
      </c>
      <c r="AB47" s="216">
        <f t="shared" si="22"/>
        <v>3.5000000000000003E-2</v>
      </c>
      <c r="AC47" s="216">
        <f t="shared" si="23"/>
        <v>3.5000000000000003E-2</v>
      </c>
      <c r="AD47" s="216">
        <f t="shared" si="24"/>
        <v>3.5000000000000003E-2</v>
      </c>
    </row>
    <row r="48" spans="1:30" s="13" customFormat="1" ht="13">
      <c r="A48" s="49" t="s">
        <v>153</v>
      </c>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row>
    <row r="49" spans="1:30" s="13" customFormat="1" ht="13">
      <c r="A49" s="214" t="s">
        <v>260</v>
      </c>
      <c r="B49" s="214" t="s">
        <v>261</v>
      </c>
      <c r="C49" s="215"/>
      <c r="D49" s="216">
        <v>0.01</v>
      </c>
      <c r="E49" s="216">
        <f t="shared" ref="E49:AD49" si="27">D49</f>
        <v>0.01</v>
      </c>
      <c r="F49" s="216">
        <f t="shared" si="27"/>
        <v>0.01</v>
      </c>
      <c r="G49" s="216">
        <f t="shared" si="27"/>
        <v>0.01</v>
      </c>
      <c r="H49" s="216">
        <f t="shared" si="27"/>
        <v>0.01</v>
      </c>
      <c r="I49" s="216">
        <f t="shared" si="27"/>
        <v>0.01</v>
      </c>
      <c r="J49" s="216">
        <f t="shared" si="27"/>
        <v>0.01</v>
      </c>
      <c r="K49" s="216">
        <f t="shared" si="27"/>
        <v>0.01</v>
      </c>
      <c r="L49" s="216">
        <f t="shared" si="27"/>
        <v>0.01</v>
      </c>
      <c r="M49" s="216">
        <f t="shared" si="27"/>
        <v>0.01</v>
      </c>
      <c r="N49" s="216">
        <f t="shared" si="27"/>
        <v>0.01</v>
      </c>
      <c r="O49" s="216">
        <f t="shared" si="27"/>
        <v>0.01</v>
      </c>
      <c r="P49" s="216">
        <f t="shared" si="27"/>
        <v>0.01</v>
      </c>
      <c r="Q49" s="216">
        <f t="shared" si="27"/>
        <v>0.01</v>
      </c>
      <c r="R49" s="216">
        <f t="shared" si="27"/>
        <v>0.01</v>
      </c>
      <c r="S49" s="216">
        <f t="shared" si="27"/>
        <v>0.01</v>
      </c>
      <c r="T49" s="216">
        <f t="shared" si="27"/>
        <v>0.01</v>
      </c>
      <c r="U49" s="216">
        <f t="shared" si="27"/>
        <v>0.01</v>
      </c>
      <c r="V49" s="216">
        <f t="shared" si="27"/>
        <v>0.01</v>
      </c>
      <c r="W49" s="216">
        <f t="shared" si="27"/>
        <v>0.01</v>
      </c>
      <c r="X49" s="216">
        <f t="shared" si="27"/>
        <v>0.01</v>
      </c>
      <c r="Y49" s="216">
        <f t="shared" si="27"/>
        <v>0.01</v>
      </c>
      <c r="Z49" s="216">
        <f t="shared" si="27"/>
        <v>0.01</v>
      </c>
      <c r="AA49" s="216">
        <f t="shared" si="27"/>
        <v>0.01</v>
      </c>
      <c r="AB49" s="216">
        <f t="shared" si="27"/>
        <v>0.01</v>
      </c>
      <c r="AC49" s="216">
        <f t="shared" si="27"/>
        <v>0.01</v>
      </c>
      <c r="AD49" s="216">
        <f t="shared" si="27"/>
        <v>0.01</v>
      </c>
    </row>
    <row r="50" spans="1:30" s="13" customFormat="1" ht="13">
      <c r="C50" s="15"/>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row>
    <row r="51" spans="1:30" s="13" customFormat="1" ht="14.5">
      <c r="A51" s="1" t="s">
        <v>52</v>
      </c>
      <c r="C51" s="15"/>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row>
    <row r="52" spans="1:30" s="134" customFormat="1" ht="13">
      <c r="A52" s="134" t="s">
        <v>530</v>
      </c>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row>
    <row r="53" spans="1:30" s="13" customFormat="1" ht="13">
      <c r="A53" s="214" t="s">
        <v>54</v>
      </c>
      <c r="B53" s="214" t="s">
        <v>90</v>
      </c>
      <c r="C53" s="218"/>
      <c r="D53" s="217">
        <v>1</v>
      </c>
      <c r="E53" s="217">
        <f t="shared" ref="E53:AD53" si="28">D53</f>
        <v>1</v>
      </c>
      <c r="F53" s="217">
        <f t="shared" si="28"/>
        <v>1</v>
      </c>
      <c r="G53" s="217">
        <f t="shared" si="28"/>
        <v>1</v>
      </c>
      <c r="H53" s="217">
        <f t="shared" si="28"/>
        <v>1</v>
      </c>
      <c r="I53" s="217">
        <f t="shared" si="28"/>
        <v>1</v>
      </c>
      <c r="J53" s="217">
        <f t="shared" si="28"/>
        <v>1</v>
      </c>
      <c r="K53" s="217">
        <f t="shared" si="28"/>
        <v>1</v>
      </c>
      <c r="L53" s="217">
        <f t="shared" si="28"/>
        <v>1</v>
      </c>
      <c r="M53" s="217">
        <f t="shared" si="28"/>
        <v>1</v>
      </c>
      <c r="N53" s="217">
        <f t="shared" si="28"/>
        <v>1</v>
      </c>
      <c r="O53" s="217">
        <f t="shared" si="28"/>
        <v>1</v>
      </c>
      <c r="P53" s="217">
        <f t="shared" si="28"/>
        <v>1</v>
      </c>
      <c r="Q53" s="217">
        <f t="shared" si="28"/>
        <v>1</v>
      </c>
      <c r="R53" s="217">
        <f t="shared" si="28"/>
        <v>1</v>
      </c>
      <c r="S53" s="217">
        <f t="shared" si="28"/>
        <v>1</v>
      </c>
      <c r="T53" s="217">
        <f t="shared" si="28"/>
        <v>1</v>
      </c>
      <c r="U53" s="217">
        <f t="shared" si="28"/>
        <v>1</v>
      </c>
      <c r="V53" s="217">
        <f t="shared" si="28"/>
        <v>1</v>
      </c>
      <c r="W53" s="217">
        <f t="shared" si="28"/>
        <v>1</v>
      </c>
      <c r="X53" s="217">
        <f t="shared" si="28"/>
        <v>1</v>
      </c>
      <c r="Y53" s="217">
        <f t="shared" si="28"/>
        <v>1</v>
      </c>
      <c r="Z53" s="217">
        <f t="shared" si="28"/>
        <v>1</v>
      </c>
      <c r="AA53" s="217">
        <f t="shared" si="28"/>
        <v>1</v>
      </c>
      <c r="AB53" s="217">
        <f t="shared" si="28"/>
        <v>1</v>
      </c>
      <c r="AC53" s="217">
        <f t="shared" si="28"/>
        <v>1</v>
      </c>
      <c r="AD53" s="217">
        <f t="shared" si="28"/>
        <v>1</v>
      </c>
    </row>
    <row r="54" spans="1:30" s="13" customFormat="1" ht="13">
      <c r="A54" s="214" t="s">
        <v>55</v>
      </c>
      <c r="B54" s="214" t="s">
        <v>36</v>
      </c>
      <c r="C54" s="148"/>
      <c r="D54" s="219">
        <v>1</v>
      </c>
      <c r="E54" s="219">
        <f t="shared" ref="E54:AD54" si="29">D54</f>
        <v>1</v>
      </c>
      <c r="F54" s="219">
        <f t="shared" si="29"/>
        <v>1</v>
      </c>
      <c r="G54" s="219">
        <f t="shared" si="29"/>
        <v>1</v>
      </c>
      <c r="H54" s="219">
        <f t="shared" si="29"/>
        <v>1</v>
      </c>
      <c r="I54" s="219">
        <f t="shared" si="29"/>
        <v>1</v>
      </c>
      <c r="J54" s="219">
        <f t="shared" si="29"/>
        <v>1</v>
      </c>
      <c r="K54" s="219">
        <f t="shared" si="29"/>
        <v>1</v>
      </c>
      <c r="L54" s="219">
        <f t="shared" si="29"/>
        <v>1</v>
      </c>
      <c r="M54" s="219">
        <f t="shared" si="29"/>
        <v>1</v>
      </c>
      <c r="N54" s="219">
        <f t="shared" si="29"/>
        <v>1</v>
      </c>
      <c r="O54" s="219">
        <f t="shared" si="29"/>
        <v>1</v>
      </c>
      <c r="P54" s="219">
        <f t="shared" si="29"/>
        <v>1</v>
      </c>
      <c r="Q54" s="219">
        <f t="shared" si="29"/>
        <v>1</v>
      </c>
      <c r="R54" s="219">
        <f t="shared" si="29"/>
        <v>1</v>
      </c>
      <c r="S54" s="219">
        <f t="shared" si="29"/>
        <v>1</v>
      </c>
      <c r="T54" s="219">
        <f t="shared" si="29"/>
        <v>1</v>
      </c>
      <c r="U54" s="219">
        <f t="shared" si="29"/>
        <v>1</v>
      </c>
      <c r="V54" s="219">
        <f t="shared" si="29"/>
        <v>1</v>
      </c>
      <c r="W54" s="219">
        <f t="shared" si="29"/>
        <v>1</v>
      </c>
      <c r="X54" s="219">
        <f t="shared" si="29"/>
        <v>1</v>
      </c>
      <c r="Y54" s="219">
        <f t="shared" si="29"/>
        <v>1</v>
      </c>
      <c r="Z54" s="219">
        <f t="shared" si="29"/>
        <v>1</v>
      </c>
      <c r="AA54" s="219">
        <f t="shared" si="29"/>
        <v>1</v>
      </c>
      <c r="AB54" s="219">
        <f t="shared" si="29"/>
        <v>1</v>
      </c>
      <c r="AC54" s="219">
        <f t="shared" si="29"/>
        <v>1</v>
      </c>
      <c r="AD54" s="219">
        <f t="shared" si="29"/>
        <v>1</v>
      </c>
    </row>
    <row r="55" spans="1:30" s="13" customFormat="1" ht="13">
      <c r="A55" s="214" t="s">
        <v>54</v>
      </c>
      <c r="B55" s="214" t="s">
        <v>90</v>
      </c>
      <c r="C55" s="218"/>
      <c r="D55" s="217">
        <v>0.1</v>
      </c>
      <c r="E55" s="217">
        <f t="shared" ref="E55:AD55" si="30">D55</f>
        <v>0.1</v>
      </c>
      <c r="F55" s="217">
        <f t="shared" si="30"/>
        <v>0.1</v>
      </c>
      <c r="G55" s="217">
        <f t="shared" si="30"/>
        <v>0.1</v>
      </c>
      <c r="H55" s="217">
        <f t="shared" si="30"/>
        <v>0.1</v>
      </c>
      <c r="I55" s="217">
        <f t="shared" si="30"/>
        <v>0.1</v>
      </c>
      <c r="J55" s="217">
        <f t="shared" si="30"/>
        <v>0.1</v>
      </c>
      <c r="K55" s="217">
        <f t="shared" si="30"/>
        <v>0.1</v>
      </c>
      <c r="L55" s="217">
        <f t="shared" si="30"/>
        <v>0.1</v>
      </c>
      <c r="M55" s="217">
        <f t="shared" si="30"/>
        <v>0.1</v>
      </c>
      <c r="N55" s="217">
        <f t="shared" si="30"/>
        <v>0.1</v>
      </c>
      <c r="O55" s="217">
        <f t="shared" si="30"/>
        <v>0.1</v>
      </c>
      <c r="P55" s="217">
        <f t="shared" si="30"/>
        <v>0.1</v>
      </c>
      <c r="Q55" s="217">
        <f t="shared" si="30"/>
        <v>0.1</v>
      </c>
      <c r="R55" s="217">
        <f t="shared" si="30"/>
        <v>0.1</v>
      </c>
      <c r="S55" s="217">
        <f t="shared" si="30"/>
        <v>0.1</v>
      </c>
      <c r="T55" s="217">
        <f t="shared" si="30"/>
        <v>0.1</v>
      </c>
      <c r="U55" s="217">
        <f t="shared" si="30"/>
        <v>0.1</v>
      </c>
      <c r="V55" s="217">
        <f t="shared" si="30"/>
        <v>0.1</v>
      </c>
      <c r="W55" s="217">
        <f t="shared" si="30"/>
        <v>0.1</v>
      </c>
      <c r="X55" s="217">
        <f t="shared" si="30"/>
        <v>0.1</v>
      </c>
      <c r="Y55" s="217">
        <f t="shared" si="30"/>
        <v>0.1</v>
      </c>
      <c r="Z55" s="217">
        <f t="shared" si="30"/>
        <v>0.1</v>
      </c>
      <c r="AA55" s="217">
        <f t="shared" si="30"/>
        <v>0.1</v>
      </c>
      <c r="AB55" s="217">
        <f t="shared" si="30"/>
        <v>0.1</v>
      </c>
      <c r="AC55" s="217">
        <f t="shared" si="30"/>
        <v>0.1</v>
      </c>
      <c r="AD55" s="217">
        <f t="shared" si="30"/>
        <v>0.1</v>
      </c>
    </row>
    <row r="56" spans="1:30" s="13" customFormat="1" ht="13">
      <c r="A56" s="214" t="s">
        <v>55</v>
      </c>
      <c r="B56" s="214" t="s">
        <v>36</v>
      </c>
      <c r="C56" s="148"/>
      <c r="D56" s="219">
        <v>3</v>
      </c>
      <c r="E56" s="219">
        <f t="shared" ref="E56:AD56" si="31">D56</f>
        <v>3</v>
      </c>
      <c r="F56" s="219">
        <f t="shared" si="31"/>
        <v>3</v>
      </c>
      <c r="G56" s="219">
        <f t="shared" si="31"/>
        <v>3</v>
      </c>
      <c r="H56" s="219">
        <f t="shared" si="31"/>
        <v>3</v>
      </c>
      <c r="I56" s="219">
        <f t="shared" si="31"/>
        <v>3</v>
      </c>
      <c r="J56" s="219">
        <f t="shared" si="31"/>
        <v>3</v>
      </c>
      <c r="K56" s="219">
        <f t="shared" si="31"/>
        <v>3</v>
      </c>
      <c r="L56" s="219">
        <f t="shared" si="31"/>
        <v>3</v>
      </c>
      <c r="M56" s="219">
        <f t="shared" si="31"/>
        <v>3</v>
      </c>
      <c r="N56" s="219">
        <f t="shared" si="31"/>
        <v>3</v>
      </c>
      <c r="O56" s="219">
        <f t="shared" si="31"/>
        <v>3</v>
      </c>
      <c r="P56" s="219">
        <f t="shared" si="31"/>
        <v>3</v>
      </c>
      <c r="Q56" s="219">
        <f t="shared" si="31"/>
        <v>3</v>
      </c>
      <c r="R56" s="219">
        <f t="shared" si="31"/>
        <v>3</v>
      </c>
      <c r="S56" s="219">
        <f t="shared" si="31"/>
        <v>3</v>
      </c>
      <c r="T56" s="219">
        <f t="shared" si="31"/>
        <v>3</v>
      </c>
      <c r="U56" s="219">
        <f t="shared" si="31"/>
        <v>3</v>
      </c>
      <c r="V56" s="219">
        <f t="shared" si="31"/>
        <v>3</v>
      </c>
      <c r="W56" s="219">
        <f t="shared" si="31"/>
        <v>3</v>
      </c>
      <c r="X56" s="219">
        <f t="shared" si="31"/>
        <v>3</v>
      </c>
      <c r="Y56" s="219">
        <f t="shared" si="31"/>
        <v>3</v>
      </c>
      <c r="Z56" s="219">
        <f t="shared" si="31"/>
        <v>3</v>
      </c>
      <c r="AA56" s="219">
        <f t="shared" si="31"/>
        <v>3</v>
      </c>
      <c r="AB56" s="219">
        <f t="shared" si="31"/>
        <v>3</v>
      </c>
      <c r="AC56" s="219">
        <f t="shared" si="31"/>
        <v>3</v>
      </c>
      <c r="AD56" s="219">
        <f t="shared" si="31"/>
        <v>3</v>
      </c>
    </row>
    <row r="57" spans="1:30" s="13" customFormat="1" ht="13">
      <c r="A57" s="214" t="s">
        <v>54</v>
      </c>
      <c r="B57" s="214" t="s">
        <v>90</v>
      </c>
      <c r="C57" s="215"/>
      <c r="D57" s="217">
        <v>0.08</v>
      </c>
      <c r="E57" s="217">
        <f t="shared" ref="E57:AD57" si="32">D57</f>
        <v>0.08</v>
      </c>
      <c r="F57" s="217">
        <f t="shared" si="32"/>
        <v>0.08</v>
      </c>
      <c r="G57" s="217">
        <f t="shared" si="32"/>
        <v>0.08</v>
      </c>
      <c r="H57" s="217">
        <f t="shared" si="32"/>
        <v>0.08</v>
      </c>
      <c r="I57" s="217">
        <f t="shared" si="32"/>
        <v>0.08</v>
      </c>
      <c r="J57" s="217">
        <f t="shared" si="32"/>
        <v>0.08</v>
      </c>
      <c r="K57" s="217">
        <f t="shared" si="32"/>
        <v>0.08</v>
      </c>
      <c r="L57" s="217">
        <f t="shared" si="32"/>
        <v>0.08</v>
      </c>
      <c r="M57" s="217">
        <f t="shared" si="32"/>
        <v>0.08</v>
      </c>
      <c r="N57" s="217">
        <f t="shared" si="32"/>
        <v>0.08</v>
      </c>
      <c r="O57" s="217">
        <f t="shared" si="32"/>
        <v>0.08</v>
      </c>
      <c r="P57" s="217">
        <f t="shared" si="32"/>
        <v>0.08</v>
      </c>
      <c r="Q57" s="217">
        <f t="shared" si="32"/>
        <v>0.08</v>
      </c>
      <c r="R57" s="217">
        <f t="shared" si="32"/>
        <v>0.08</v>
      </c>
      <c r="S57" s="217">
        <f t="shared" si="32"/>
        <v>0.08</v>
      </c>
      <c r="T57" s="217">
        <f t="shared" si="32"/>
        <v>0.08</v>
      </c>
      <c r="U57" s="217">
        <f t="shared" si="32"/>
        <v>0.08</v>
      </c>
      <c r="V57" s="217">
        <f t="shared" si="32"/>
        <v>0.08</v>
      </c>
      <c r="W57" s="217">
        <f t="shared" si="32"/>
        <v>0.08</v>
      </c>
      <c r="X57" s="217">
        <f t="shared" si="32"/>
        <v>0.08</v>
      </c>
      <c r="Y57" s="217">
        <f t="shared" si="32"/>
        <v>0.08</v>
      </c>
      <c r="Z57" s="217">
        <f t="shared" si="32"/>
        <v>0.08</v>
      </c>
      <c r="AA57" s="217">
        <f t="shared" si="32"/>
        <v>0.08</v>
      </c>
      <c r="AB57" s="217">
        <f t="shared" si="32"/>
        <v>0.08</v>
      </c>
      <c r="AC57" s="217">
        <f t="shared" si="32"/>
        <v>0.08</v>
      </c>
      <c r="AD57" s="217">
        <f t="shared" si="32"/>
        <v>0.08</v>
      </c>
    </row>
    <row r="58" spans="1:30" s="13" customFormat="1" ht="13">
      <c r="A58" s="214" t="s">
        <v>55</v>
      </c>
      <c r="B58" s="214" t="s">
        <v>36</v>
      </c>
      <c r="C58" s="42"/>
      <c r="D58" s="219">
        <v>5</v>
      </c>
      <c r="E58" s="219">
        <f t="shared" ref="E58:AD58" si="33">D58</f>
        <v>5</v>
      </c>
      <c r="F58" s="219">
        <f t="shared" si="33"/>
        <v>5</v>
      </c>
      <c r="G58" s="219">
        <f t="shared" si="33"/>
        <v>5</v>
      </c>
      <c r="H58" s="219">
        <f t="shared" si="33"/>
        <v>5</v>
      </c>
      <c r="I58" s="219">
        <f t="shared" si="33"/>
        <v>5</v>
      </c>
      <c r="J58" s="219">
        <f t="shared" si="33"/>
        <v>5</v>
      </c>
      <c r="K58" s="219">
        <f t="shared" si="33"/>
        <v>5</v>
      </c>
      <c r="L58" s="219">
        <f t="shared" si="33"/>
        <v>5</v>
      </c>
      <c r="M58" s="219">
        <f t="shared" si="33"/>
        <v>5</v>
      </c>
      <c r="N58" s="219">
        <f t="shared" si="33"/>
        <v>5</v>
      </c>
      <c r="O58" s="219">
        <f t="shared" si="33"/>
        <v>5</v>
      </c>
      <c r="P58" s="219">
        <f t="shared" si="33"/>
        <v>5</v>
      </c>
      <c r="Q58" s="219">
        <f t="shared" si="33"/>
        <v>5</v>
      </c>
      <c r="R58" s="219">
        <f t="shared" si="33"/>
        <v>5</v>
      </c>
      <c r="S58" s="219">
        <f t="shared" si="33"/>
        <v>5</v>
      </c>
      <c r="T58" s="219">
        <f t="shared" si="33"/>
        <v>5</v>
      </c>
      <c r="U58" s="219">
        <f t="shared" si="33"/>
        <v>5</v>
      </c>
      <c r="V58" s="219">
        <f t="shared" si="33"/>
        <v>5</v>
      </c>
      <c r="W58" s="219">
        <f t="shared" si="33"/>
        <v>5</v>
      </c>
      <c r="X58" s="219">
        <f t="shared" si="33"/>
        <v>5</v>
      </c>
      <c r="Y58" s="219">
        <f t="shared" si="33"/>
        <v>5</v>
      </c>
      <c r="Z58" s="219">
        <f t="shared" si="33"/>
        <v>5</v>
      </c>
      <c r="AA58" s="219">
        <f t="shared" si="33"/>
        <v>5</v>
      </c>
      <c r="AB58" s="219">
        <f t="shared" si="33"/>
        <v>5</v>
      </c>
      <c r="AC58" s="219">
        <f t="shared" si="33"/>
        <v>5</v>
      </c>
      <c r="AD58" s="219">
        <f t="shared" si="33"/>
        <v>5</v>
      </c>
    </row>
    <row r="59" spans="1:30" s="13" customFormat="1" ht="13">
      <c r="A59" s="214" t="s">
        <v>54</v>
      </c>
      <c r="B59" s="214" t="s">
        <v>90</v>
      </c>
      <c r="C59" s="215"/>
      <c r="D59" s="217">
        <v>0.05</v>
      </c>
      <c r="E59" s="217">
        <f t="shared" ref="E59:AD59" si="34">D59</f>
        <v>0.05</v>
      </c>
      <c r="F59" s="217">
        <f t="shared" si="34"/>
        <v>0.05</v>
      </c>
      <c r="G59" s="217">
        <f t="shared" si="34"/>
        <v>0.05</v>
      </c>
      <c r="H59" s="217">
        <f t="shared" si="34"/>
        <v>0.05</v>
      </c>
      <c r="I59" s="217">
        <f t="shared" si="34"/>
        <v>0.05</v>
      </c>
      <c r="J59" s="217">
        <f t="shared" si="34"/>
        <v>0.05</v>
      </c>
      <c r="K59" s="217">
        <f t="shared" si="34"/>
        <v>0.05</v>
      </c>
      <c r="L59" s="217">
        <f t="shared" si="34"/>
        <v>0.05</v>
      </c>
      <c r="M59" s="217">
        <f t="shared" si="34"/>
        <v>0.05</v>
      </c>
      <c r="N59" s="217">
        <f t="shared" si="34"/>
        <v>0.05</v>
      </c>
      <c r="O59" s="217">
        <f t="shared" si="34"/>
        <v>0.05</v>
      </c>
      <c r="P59" s="217">
        <f t="shared" si="34"/>
        <v>0.05</v>
      </c>
      <c r="Q59" s="217">
        <f t="shared" si="34"/>
        <v>0.05</v>
      </c>
      <c r="R59" s="217">
        <f t="shared" si="34"/>
        <v>0.05</v>
      </c>
      <c r="S59" s="217">
        <f t="shared" si="34"/>
        <v>0.05</v>
      </c>
      <c r="T59" s="217">
        <f t="shared" si="34"/>
        <v>0.05</v>
      </c>
      <c r="U59" s="217">
        <f t="shared" si="34"/>
        <v>0.05</v>
      </c>
      <c r="V59" s="217">
        <f t="shared" si="34"/>
        <v>0.05</v>
      </c>
      <c r="W59" s="217">
        <f t="shared" si="34"/>
        <v>0.05</v>
      </c>
      <c r="X59" s="217">
        <f t="shared" si="34"/>
        <v>0.05</v>
      </c>
      <c r="Y59" s="217">
        <f t="shared" si="34"/>
        <v>0.05</v>
      </c>
      <c r="Z59" s="217">
        <f t="shared" si="34"/>
        <v>0.05</v>
      </c>
      <c r="AA59" s="217">
        <f t="shared" si="34"/>
        <v>0.05</v>
      </c>
      <c r="AB59" s="217">
        <f t="shared" si="34"/>
        <v>0.05</v>
      </c>
      <c r="AC59" s="217">
        <f t="shared" si="34"/>
        <v>0.05</v>
      </c>
      <c r="AD59" s="217">
        <f t="shared" si="34"/>
        <v>0.05</v>
      </c>
    </row>
    <row r="60" spans="1:30" s="13" customFormat="1" ht="13">
      <c r="A60" s="214" t="s">
        <v>55</v>
      </c>
      <c r="B60" s="214" t="s">
        <v>36</v>
      </c>
      <c r="C60" s="42"/>
      <c r="D60" s="219">
        <v>10</v>
      </c>
      <c r="E60" s="219">
        <f t="shared" ref="E60:AD60" si="35">D60</f>
        <v>10</v>
      </c>
      <c r="F60" s="219">
        <f t="shared" si="35"/>
        <v>10</v>
      </c>
      <c r="G60" s="219">
        <f t="shared" si="35"/>
        <v>10</v>
      </c>
      <c r="H60" s="219">
        <f t="shared" si="35"/>
        <v>10</v>
      </c>
      <c r="I60" s="219">
        <f t="shared" si="35"/>
        <v>10</v>
      </c>
      <c r="J60" s="219">
        <f t="shared" si="35"/>
        <v>10</v>
      </c>
      <c r="K60" s="219">
        <f t="shared" si="35"/>
        <v>10</v>
      </c>
      <c r="L60" s="219">
        <f t="shared" si="35"/>
        <v>10</v>
      </c>
      <c r="M60" s="219">
        <f t="shared" si="35"/>
        <v>10</v>
      </c>
      <c r="N60" s="219">
        <f t="shared" si="35"/>
        <v>10</v>
      </c>
      <c r="O60" s="219">
        <f t="shared" si="35"/>
        <v>10</v>
      </c>
      <c r="P60" s="219">
        <f t="shared" si="35"/>
        <v>10</v>
      </c>
      <c r="Q60" s="219">
        <f t="shared" si="35"/>
        <v>10</v>
      </c>
      <c r="R60" s="219">
        <f t="shared" si="35"/>
        <v>10</v>
      </c>
      <c r="S60" s="219">
        <f t="shared" si="35"/>
        <v>10</v>
      </c>
      <c r="T60" s="219">
        <f t="shared" si="35"/>
        <v>10</v>
      </c>
      <c r="U60" s="219">
        <f t="shared" si="35"/>
        <v>10</v>
      </c>
      <c r="V60" s="219">
        <f t="shared" si="35"/>
        <v>10</v>
      </c>
      <c r="W60" s="219">
        <f t="shared" si="35"/>
        <v>10</v>
      </c>
      <c r="X60" s="219">
        <f t="shared" si="35"/>
        <v>10</v>
      </c>
      <c r="Y60" s="219">
        <f t="shared" si="35"/>
        <v>10</v>
      </c>
      <c r="Z60" s="219">
        <f t="shared" si="35"/>
        <v>10</v>
      </c>
      <c r="AA60" s="219">
        <f t="shared" si="35"/>
        <v>10</v>
      </c>
      <c r="AB60" s="219">
        <f t="shared" si="35"/>
        <v>10</v>
      </c>
      <c r="AC60" s="219">
        <f t="shared" si="35"/>
        <v>10</v>
      </c>
      <c r="AD60" s="219">
        <f t="shared" si="35"/>
        <v>10</v>
      </c>
    </row>
    <row r="61" spans="1:30" s="13" customFormat="1" ht="13">
      <c r="A61" s="214" t="s">
        <v>54</v>
      </c>
      <c r="B61" s="214" t="s">
        <v>90</v>
      </c>
      <c r="C61" s="215"/>
      <c r="D61" s="217">
        <v>0.03</v>
      </c>
      <c r="E61" s="217">
        <f t="shared" ref="E61:AD61" si="36">D61</f>
        <v>0.03</v>
      </c>
      <c r="F61" s="217">
        <f t="shared" si="36"/>
        <v>0.03</v>
      </c>
      <c r="G61" s="217">
        <f t="shared" si="36"/>
        <v>0.03</v>
      </c>
      <c r="H61" s="217">
        <f t="shared" si="36"/>
        <v>0.03</v>
      </c>
      <c r="I61" s="217">
        <f t="shared" si="36"/>
        <v>0.03</v>
      </c>
      <c r="J61" s="217">
        <f t="shared" si="36"/>
        <v>0.03</v>
      </c>
      <c r="K61" s="217">
        <f t="shared" si="36"/>
        <v>0.03</v>
      </c>
      <c r="L61" s="217">
        <f t="shared" si="36"/>
        <v>0.03</v>
      </c>
      <c r="M61" s="217">
        <f t="shared" si="36"/>
        <v>0.03</v>
      </c>
      <c r="N61" s="217">
        <f t="shared" si="36"/>
        <v>0.03</v>
      </c>
      <c r="O61" s="217">
        <f t="shared" si="36"/>
        <v>0.03</v>
      </c>
      <c r="P61" s="217">
        <f t="shared" si="36"/>
        <v>0.03</v>
      </c>
      <c r="Q61" s="217">
        <f t="shared" si="36"/>
        <v>0.03</v>
      </c>
      <c r="R61" s="217">
        <f t="shared" si="36"/>
        <v>0.03</v>
      </c>
      <c r="S61" s="217">
        <f t="shared" si="36"/>
        <v>0.03</v>
      </c>
      <c r="T61" s="217">
        <f t="shared" si="36"/>
        <v>0.03</v>
      </c>
      <c r="U61" s="217">
        <f t="shared" si="36"/>
        <v>0.03</v>
      </c>
      <c r="V61" s="217">
        <f t="shared" si="36"/>
        <v>0.03</v>
      </c>
      <c r="W61" s="217">
        <f t="shared" si="36"/>
        <v>0.03</v>
      </c>
      <c r="X61" s="217">
        <f t="shared" si="36"/>
        <v>0.03</v>
      </c>
      <c r="Y61" s="217">
        <f t="shared" si="36"/>
        <v>0.03</v>
      </c>
      <c r="Z61" s="217">
        <f t="shared" si="36"/>
        <v>0.03</v>
      </c>
      <c r="AA61" s="217">
        <f t="shared" si="36"/>
        <v>0.03</v>
      </c>
      <c r="AB61" s="217">
        <f t="shared" si="36"/>
        <v>0.03</v>
      </c>
      <c r="AC61" s="217">
        <f t="shared" si="36"/>
        <v>0.03</v>
      </c>
      <c r="AD61" s="217">
        <f t="shared" si="36"/>
        <v>0.03</v>
      </c>
    </row>
    <row r="62" spans="1:30" s="13" customFormat="1" ht="13">
      <c r="A62" s="214" t="s">
        <v>55</v>
      </c>
      <c r="B62" s="214" t="s">
        <v>36</v>
      </c>
      <c r="C62" s="42"/>
      <c r="D62" s="219">
        <v>20</v>
      </c>
      <c r="E62" s="219">
        <f t="shared" ref="E62:AD62" si="37">D62</f>
        <v>20</v>
      </c>
      <c r="F62" s="219">
        <f t="shared" si="37"/>
        <v>20</v>
      </c>
      <c r="G62" s="219">
        <f t="shared" si="37"/>
        <v>20</v>
      </c>
      <c r="H62" s="219">
        <f t="shared" si="37"/>
        <v>20</v>
      </c>
      <c r="I62" s="219">
        <f t="shared" si="37"/>
        <v>20</v>
      </c>
      <c r="J62" s="219">
        <f t="shared" si="37"/>
        <v>20</v>
      </c>
      <c r="K62" s="219">
        <f t="shared" si="37"/>
        <v>20</v>
      </c>
      <c r="L62" s="219">
        <f t="shared" si="37"/>
        <v>20</v>
      </c>
      <c r="M62" s="219">
        <f t="shared" si="37"/>
        <v>20</v>
      </c>
      <c r="N62" s="219">
        <f t="shared" si="37"/>
        <v>20</v>
      </c>
      <c r="O62" s="219">
        <f t="shared" si="37"/>
        <v>20</v>
      </c>
      <c r="P62" s="219">
        <f t="shared" si="37"/>
        <v>20</v>
      </c>
      <c r="Q62" s="219">
        <f t="shared" si="37"/>
        <v>20</v>
      </c>
      <c r="R62" s="219">
        <f t="shared" si="37"/>
        <v>20</v>
      </c>
      <c r="S62" s="219">
        <f t="shared" si="37"/>
        <v>20</v>
      </c>
      <c r="T62" s="219">
        <f t="shared" si="37"/>
        <v>20</v>
      </c>
      <c r="U62" s="219">
        <f t="shared" si="37"/>
        <v>20</v>
      </c>
      <c r="V62" s="219">
        <f t="shared" si="37"/>
        <v>20</v>
      </c>
      <c r="W62" s="219">
        <f t="shared" si="37"/>
        <v>20</v>
      </c>
      <c r="X62" s="219">
        <f t="shared" si="37"/>
        <v>20</v>
      </c>
      <c r="Y62" s="219">
        <f t="shared" si="37"/>
        <v>20</v>
      </c>
      <c r="Z62" s="219">
        <f t="shared" si="37"/>
        <v>20</v>
      </c>
      <c r="AA62" s="219">
        <f t="shared" si="37"/>
        <v>20</v>
      </c>
      <c r="AB62" s="219">
        <f t="shared" si="37"/>
        <v>20</v>
      </c>
      <c r="AC62" s="219">
        <f t="shared" si="37"/>
        <v>20</v>
      </c>
      <c r="AD62" s="219">
        <f t="shared" si="37"/>
        <v>20</v>
      </c>
    </row>
    <row r="63" spans="1:30" s="13" customFormat="1" ht="13">
      <c r="A63" s="214" t="s">
        <v>54</v>
      </c>
      <c r="B63" s="214" t="s">
        <v>90</v>
      </c>
      <c r="C63" s="215"/>
      <c r="D63" s="220">
        <v>2.5000000000000001E-2</v>
      </c>
      <c r="E63" s="220">
        <f t="shared" ref="E63:AD63" si="38">D63</f>
        <v>2.5000000000000001E-2</v>
      </c>
      <c r="F63" s="220">
        <f t="shared" si="38"/>
        <v>2.5000000000000001E-2</v>
      </c>
      <c r="G63" s="220">
        <f t="shared" si="38"/>
        <v>2.5000000000000001E-2</v>
      </c>
      <c r="H63" s="220">
        <f t="shared" si="38"/>
        <v>2.5000000000000001E-2</v>
      </c>
      <c r="I63" s="220">
        <f t="shared" si="38"/>
        <v>2.5000000000000001E-2</v>
      </c>
      <c r="J63" s="220">
        <f t="shared" si="38"/>
        <v>2.5000000000000001E-2</v>
      </c>
      <c r="K63" s="220">
        <f t="shared" si="38"/>
        <v>2.5000000000000001E-2</v>
      </c>
      <c r="L63" s="220">
        <f t="shared" si="38"/>
        <v>2.5000000000000001E-2</v>
      </c>
      <c r="M63" s="220">
        <f t="shared" si="38"/>
        <v>2.5000000000000001E-2</v>
      </c>
      <c r="N63" s="220">
        <f t="shared" si="38"/>
        <v>2.5000000000000001E-2</v>
      </c>
      <c r="O63" s="220">
        <f t="shared" si="38"/>
        <v>2.5000000000000001E-2</v>
      </c>
      <c r="P63" s="220">
        <f t="shared" si="38"/>
        <v>2.5000000000000001E-2</v>
      </c>
      <c r="Q63" s="220">
        <f t="shared" si="38"/>
        <v>2.5000000000000001E-2</v>
      </c>
      <c r="R63" s="220">
        <f t="shared" si="38"/>
        <v>2.5000000000000001E-2</v>
      </c>
      <c r="S63" s="220">
        <f t="shared" si="38"/>
        <v>2.5000000000000001E-2</v>
      </c>
      <c r="T63" s="220">
        <f t="shared" si="38"/>
        <v>2.5000000000000001E-2</v>
      </c>
      <c r="U63" s="220">
        <f t="shared" si="38"/>
        <v>2.5000000000000001E-2</v>
      </c>
      <c r="V63" s="220">
        <f t="shared" si="38"/>
        <v>2.5000000000000001E-2</v>
      </c>
      <c r="W63" s="220">
        <f t="shared" si="38"/>
        <v>2.5000000000000001E-2</v>
      </c>
      <c r="X63" s="220">
        <f t="shared" si="38"/>
        <v>2.5000000000000001E-2</v>
      </c>
      <c r="Y63" s="220">
        <f t="shared" si="38"/>
        <v>2.5000000000000001E-2</v>
      </c>
      <c r="Z63" s="220">
        <f t="shared" si="38"/>
        <v>2.5000000000000001E-2</v>
      </c>
      <c r="AA63" s="220">
        <f t="shared" si="38"/>
        <v>2.5000000000000001E-2</v>
      </c>
      <c r="AB63" s="220">
        <f t="shared" si="38"/>
        <v>2.5000000000000001E-2</v>
      </c>
      <c r="AC63" s="220">
        <f t="shared" si="38"/>
        <v>2.5000000000000001E-2</v>
      </c>
      <c r="AD63" s="220">
        <f t="shared" si="38"/>
        <v>2.5000000000000001E-2</v>
      </c>
    </row>
    <row r="64" spans="1:30" s="13" customFormat="1" ht="13">
      <c r="C64" s="15"/>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row>
    <row r="65" spans="1:30" s="13" customFormat="1" ht="14.5">
      <c r="A65" s="1" t="s">
        <v>56</v>
      </c>
      <c r="C65" s="15"/>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row>
    <row r="66" spans="1:30" s="13" customFormat="1" ht="13">
      <c r="A66" s="134" t="s">
        <v>531</v>
      </c>
      <c r="C66" s="15"/>
      <c r="D66" s="38"/>
      <c r="E66" s="38"/>
      <c r="F66" s="38"/>
      <c r="G66" s="38"/>
      <c r="H66" s="38"/>
      <c r="I66" s="38"/>
      <c r="J66" s="38"/>
      <c r="K66" s="38"/>
      <c r="L66" s="38"/>
      <c r="M66" s="38"/>
      <c r="N66" s="38"/>
      <c r="O66" s="38"/>
      <c r="P66" s="38"/>
      <c r="Q66" s="38"/>
      <c r="R66" s="38"/>
      <c r="S66" s="38"/>
      <c r="T66" s="38"/>
      <c r="U66" s="38"/>
      <c r="V66" s="38"/>
      <c r="W66" s="38"/>
      <c r="X66" s="38"/>
      <c r="Y66" s="38"/>
      <c r="Z66" s="38"/>
      <c r="AA66" s="38"/>
      <c r="AB66" s="38"/>
      <c r="AC66" s="38"/>
      <c r="AD66" s="38"/>
    </row>
    <row r="67" spans="1:30" s="13" customFormat="1" ht="13">
      <c r="A67" s="214" t="s">
        <v>209</v>
      </c>
      <c r="B67" s="214" t="s">
        <v>91</v>
      </c>
      <c r="C67" s="215"/>
      <c r="D67" s="217">
        <v>0.9</v>
      </c>
      <c r="E67" s="217">
        <f t="shared" ref="E67:AD67" si="39">D67</f>
        <v>0.9</v>
      </c>
      <c r="F67" s="217">
        <f t="shared" si="39"/>
        <v>0.9</v>
      </c>
      <c r="G67" s="217">
        <f t="shared" si="39"/>
        <v>0.9</v>
      </c>
      <c r="H67" s="217">
        <f t="shared" si="39"/>
        <v>0.9</v>
      </c>
      <c r="I67" s="217">
        <f t="shared" si="39"/>
        <v>0.9</v>
      </c>
      <c r="J67" s="217">
        <f t="shared" si="39"/>
        <v>0.9</v>
      </c>
      <c r="K67" s="217">
        <f t="shared" si="39"/>
        <v>0.9</v>
      </c>
      <c r="L67" s="217">
        <f t="shared" si="39"/>
        <v>0.9</v>
      </c>
      <c r="M67" s="217">
        <f t="shared" si="39"/>
        <v>0.9</v>
      </c>
      <c r="N67" s="217">
        <f t="shared" si="39"/>
        <v>0.9</v>
      </c>
      <c r="O67" s="217">
        <f t="shared" si="39"/>
        <v>0.9</v>
      </c>
      <c r="P67" s="217">
        <f t="shared" si="39"/>
        <v>0.9</v>
      </c>
      <c r="Q67" s="217">
        <f t="shared" si="39"/>
        <v>0.9</v>
      </c>
      <c r="R67" s="217">
        <f t="shared" si="39"/>
        <v>0.9</v>
      </c>
      <c r="S67" s="217">
        <f t="shared" si="39"/>
        <v>0.9</v>
      </c>
      <c r="T67" s="217">
        <f t="shared" si="39"/>
        <v>0.9</v>
      </c>
      <c r="U67" s="217">
        <f t="shared" si="39"/>
        <v>0.9</v>
      </c>
      <c r="V67" s="217">
        <f t="shared" si="39"/>
        <v>0.9</v>
      </c>
      <c r="W67" s="217">
        <f t="shared" si="39"/>
        <v>0.9</v>
      </c>
      <c r="X67" s="217">
        <f t="shared" si="39"/>
        <v>0.9</v>
      </c>
      <c r="Y67" s="217">
        <f t="shared" si="39"/>
        <v>0.9</v>
      </c>
      <c r="Z67" s="217">
        <f t="shared" si="39"/>
        <v>0.9</v>
      </c>
      <c r="AA67" s="217">
        <f t="shared" si="39"/>
        <v>0.9</v>
      </c>
      <c r="AB67" s="217">
        <f t="shared" si="39"/>
        <v>0.9</v>
      </c>
      <c r="AC67" s="217">
        <f t="shared" si="39"/>
        <v>0.9</v>
      </c>
      <c r="AD67" s="217">
        <f t="shared" si="39"/>
        <v>0.9</v>
      </c>
    </row>
    <row r="68" spans="1:30" s="13" customFormat="1" ht="13">
      <c r="A68" s="214" t="s">
        <v>210</v>
      </c>
      <c r="B68" s="214" t="s">
        <v>218</v>
      </c>
      <c r="C68" s="42"/>
      <c r="D68" s="219">
        <v>30</v>
      </c>
      <c r="E68" s="219">
        <f t="shared" ref="E68:AD68" si="40">D68</f>
        <v>30</v>
      </c>
      <c r="F68" s="219">
        <f t="shared" si="40"/>
        <v>30</v>
      </c>
      <c r="G68" s="219">
        <f t="shared" si="40"/>
        <v>30</v>
      </c>
      <c r="H68" s="219">
        <f t="shared" si="40"/>
        <v>30</v>
      </c>
      <c r="I68" s="219">
        <f t="shared" si="40"/>
        <v>30</v>
      </c>
      <c r="J68" s="219">
        <f t="shared" si="40"/>
        <v>30</v>
      </c>
      <c r="K68" s="219">
        <f t="shared" si="40"/>
        <v>30</v>
      </c>
      <c r="L68" s="219">
        <f t="shared" si="40"/>
        <v>30</v>
      </c>
      <c r="M68" s="219">
        <f t="shared" si="40"/>
        <v>30</v>
      </c>
      <c r="N68" s="219">
        <f t="shared" si="40"/>
        <v>30</v>
      </c>
      <c r="O68" s="219">
        <f t="shared" si="40"/>
        <v>30</v>
      </c>
      <c r="P68" s="219">
        <f t="shared" si="40"/>
        <v>30</v>
      </c>
      <c r="Q68" s="219">
        <f t="shared" si="40"/>
        <v>30</v>
      </c>
      <c r="R68" s="219">
        <f t="shared" si="40"/>
        <v>30</v>
      </c>
      <c r="S68" s="219">
        <f t="shared" si="40"/>
        <v>30</v>
      </c>
      <c r="T68" s="219">
        <f t="shared" si="40"/>
        <v>30</v>
      </c>
      <c r="U68" s="219">
        <f t="shared" si="40"/>
        <v>30</v>
      </c>
      <c r="V68" s="219">
        <f t="shared" si="40"/>
        <v>30</v>
      </c>
      <c r="W68" s="219">
        <f t="shared" si="40"/>
        <v>30</v>
      </c>
      <c r="X68" s="219">
        <f t="shared" si="40"/>
        <v>30</v>
      </c>
      <c r="Y68" s="219">
        <f t="shared" si="40"/>
        <v>30</v>
      </c>
      <c r="Z68" s="219">
        <f t="shared" si="40"/>
        <v>30</v>
      </c>
      <c r="AA68" s="219">
        <f t="shared" si="40"/>
        <v>30</v>
      </c>
      <c r="AB68" s="219">
        <f t="shared" si="40"/>
        <v>30</v>
      </c>
      <c r="AC68" s="219">
        <f t="shared" si="40"/>
        <v>30</v>
      </c>
      <c r="AD68" s="219">
        <f t="shared" si="40"/>
        <v>30</v>
      </c>
    </row>
    <row r="69" spans="1:30" s="18" customFormat="1" ht="42" customHeight="1">
      <c r="A69" s="23" t="s">
        <v>379</v>
      </c>
      <c r="C69" s="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row>
    <row r="70" spans="1:30" s="134" customFormat="1" ht="13">
      <c r="A70" s="134" t="s">
        <v>532</v>
      </c>
      <c r="C70" s="221"/>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row>
    <row r="71" spans="1:30" s="13" customFormat="1" ht="13">
      <c r="A71" s="214" t="s">
        <v>214</v>
      </c>
      <c r="B71" s="214" t="s">
        <v>117</v>
      </c>
      <c r="C71" s="215"/>
      <c r="D71" s="217">
        <v>0.83</v>
      </c>
      <c r="E71" s="217">
        <f t="shared" ref="E71:AD71" si="41">D71</f>
        <v>0.83</v>
      </c>
      <c r="F71" s="217">
        <f t="shared" si="41"/>
        <v>0.83</v>
      </c>
      <c r="G71" s="217">
        <f t="shared" si="41"/>
        <v>0.83</v>
      </c>
      <c r="H71" s="217">
        <f t="shared" si="41"/>
        <v>0.83</v>
      </c>
      <c r="I71" s="217">
        <f t="shared" si="41"/>
        <v>0.83</v>
      </c>
      <c r="J71" s="217">
        <f t="shared" si="41"/>
        <v>0.83</v>
      </c>
      <c r="K71" s="217">
        <f t="shared" si="41"/>
        <v>0.83</v>
      </c>
      <c r="L71" s="217">
        <f t="shared" si="41"/>
        <v>0.83</v>
      </c>
      <c r="M71" s="217">
        <f t="shared" si="41"/>
        <v>0.83</v>
      </c>
      <c r="N71" s="217">
        <f t="shared" si="41"/>
        <v>0.83</v>
      </c>
      <c r="O71" s="217">
        <f t="shared" si="41"/>
        <v>0.83</v>
      </c>
      <c r="P71" s="217">
        <f t="shared" si="41"/>
        <v>0.83</v>
      </c>
      <c r="Q71" s="217">
        <f t="shared" si="41"/>
        <v>0.83</v>
      </c>
      <c r="R71" s="217">
        <f t="shared" si="41"/>
        <v>0.83</v>
      </c>
      <c r="S71" s="217">
        <f t="shared" si="41"/>
        <v>0.83</v>
      </c>
      <c r="T71" s="217">
        <f t="shared" si="41"/>
        <v>0.83</v>
      </c>
      <c r="U71" s="217">
        <f t="shared" si="41"/>
        <v>0.83</v>
      </c>
      <c r="V71" s="217">
        <f t="shared" si="41"/>
        <v>0.83</v>
      </c>
      <c r="W71" s="217">
        <f t="shared" si="41"/>
        <v>0.83</v>
      </c>
      <c r="X71" s="217">
        <f t="shared" si="41"/>
        <v>0.83</v>
      </c>
      <c r="Y71" s="217">
        <f t="shared" si="41"/>
        <v>0.83</v>
      </c>
      <c r="Z71" s="217">
        <f t="shared" si="41"/>
        <v>0.83</v>
      </c>
      <c r="AA71" s="217">
        <f t="shared" si="41"/>
        <v>0.83</v>
      </c>
      <c r="AB71" s="217">
        <f t="shared" si="41"/>
        <v>0.83</v>
      </c>
      <c r="AC71" s="217">
        <f t="shared" si="41"/>
        <v>0.83</v>
      </c>
      <c r="AD71" s="217">
        <f t="shared" si="41"/>
        <v>0.83</v>
      </c>
    </row>
    <row r="72" spans="1:30" s="18" customFormat="1" ht="42" customHeight="1">
      <c r="A72" s="23" t="s">
        <v>377</v>
      </c>
      <c r="C72" s="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row>
    <row r="73" spans="1:30" s="13" customFormat="1" ht="13" outlineLevel="1">
      <c r="A73" s="134" t="s">
        <v>533</v>
      </c>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row>
    <row r="74" spans="1:30" s="13" customFormat="1">
      <c r="A74" s="97" t="s">
        <v>160</v>
      </c>
      <c r="C74" s="15"/>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row>
    <row r="75" spans="1:30" s="13" customFormat="1" ht="13" outlineLevel="1">
      <c r="A75" s="134" t="s">
        <v>534</v>
      </c>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row>
    <row r="76" spans="1:30" s="13" customFormat="1" ht="13">
      <c r="A76" s="214" t="s">
        <v>385</v>
      </c>
      <c r="B76" s="214" t="s">
        <v>163</v>
      </c>
      <c r="C76" s="222" t="s">
        <v>380</v>
      </c>
      <c r="D76" s="217">
        <v>0.06</v>
      </c>
      <c r="E76" s="217">
        <f t="shared" ref="E76:E84" si="42">D76</f>
        <v>0.06</v>
      </c>
      <c r="F76" s="217">
        <f t="shared" ref="F76:F84" si="43">E76</f>
        <v>0.06</v>
      </c>
      <c r="G76" s="217">
        <f t="shared" ref="G76:G84" si="44">F76</f>
        <v>0.06</v>
      </c>
      <c r="H76" s="217">
        <f t="shared" ref="H76:H84" si="45">G76</f>
        <v>0.06</v>
      </c>
      <c r="I76" s="217">
        <f t="shared" ref="I76:I84" si="46">H76</f>
        <v>0.06</v>
      </c>
      <c r="J76" s="217">
        <f t="shared" ref="J76:J84" si="47">I76</f>
        <v>0.06</v>
      </c>
      <c r="K76" s="217">
        <f t="shared" ref="K76:K84" si="48">J76</f>
        <v>0.06</v>
      </c>
      <c r="L76" s="217">
        <f t="shared" ref="L76:L84" si="49">K76</f>
        <v>0.06</v>
      </c>
      <c r="M76" s="217">
        <f t="shared" ref="M76:M84" si="50">L76</f>
        <v>0.06</v>
      </c>
      <c r="N76" s="217">
        <f t="shared" ref="N76:N84" si="51">M76</f>
        <v>0.06</v>
      </c>
      <c r="O76" s="217">
        <f t="shared" ref="O76:O84" si="52">N76</f>
        <v>0.06</v>
      </c>
      <c r="P76" s="217">
        <f t="shared" ref="P76:P84" si="53">O76</f>
        <v>0.06</v>
      </c>
      <c r="Q76" s="217">
        <f t="shared" ref="Q76:Q84" si="54">P76</f>
        <v>0.06</v>
      </c>
      <c r="R76" s="217">
        <f t="shared" ref="R76:R84" si="55">Q76</f>
        <v>0.06</v>
      </c>
      <c r="S76" s="217">
        <f t="shared" ref="S76:S84" si="56">R76</f>
        <v>0.06</v>
      </c>
      <c r="T76" s="217">
        <f t="shared" ref="T76:T84" si="57">S76</f>
        <v>0.06</v>
      </c>
      <c r="U76" s="217">
        <f t="shared" ref="U76:U84" si="58">T76</f>
        <v>0.06</v>
      </c>
      <c r="V76" s="217">
        <f t="shared" ref="V76:V84" si="59">U76</f>
        <v>0.06</v>
      </c>
      <c r="W76" s="217">
        <f t="shared" ref="W76:W84" si="60">V76</f>
        <v>0.06</v>
      </c>
      <c r="X76" s="217">
        <f t="shared" ref="X76:X84" si="61">W76</f>
        <v>0.06</v>
      </c>
      <c r="Y76" s="217">
        <f t="shared" ref="Y76:Y84" si="62">X76</f>
        <v>0.06</v>
      </c>
      <c r="Z76" s="217">
        <f t="shared" ref="Z76:Z84" si="63">Y76</f>
        <v>0.06</v>
      </c>
      <c r="AA76" s="217">
        <f t="shared" ref="AA76:AA84" si="64">Z76</f>
        <v>0.06</v>
      </c>
      <c r="AB76" s="217">
        <f t="shared" ref="AB76:AB84" si="65">AA76</f>
        <v>0.06</v>
      </c>
      <c r="AC76" s="217">
        <f t="shared" ref="AC76:AC84" si="66">AB76</f>
        <v>0.06</v>
      </c>
      <c r="AD76" s="217">
        <f t="shared" ref="AD76:AD84" si="67">AC76</f>
        <v>0.06</v>
      </c>
    </row>
    <row r="77" spans="1:30" s="13" customFormat="1" ht="13">
      <c r="A77" s="214" t="s">
        <v>390</v>
      </c>
      <c r="B77" s="214" t="s">
        <v>381</v>
      </c>
      <c r="C77" s="223">
        <f>D77/2204</f>
        <v>2.041742286751361</v>
      </c>
      <c r="D77" s="219">
        <v>4500</v>
      </c>
      <c r="E77" s="219">
        <f t="shared" si="42"/>
        <v>4500</v>
      </c>
      <c r="F77" s="219">
        <f t="shared" si="43"/>
        <v>4500</v>
      </c>
      <c r="G77" s="219">
        <f t="shared" si="44"/>
        <v>4500</v>
      </c>
      <c r="H77" s="219">
        <f t="shared" si="45"/>
        <v>4500</v>
      </c>
      <c r="I77" s="219">
        <f t="shared" si="46"/>
        <v>4500</v>
      </c>
      <c r="J77" s="219">
        <f t="shared" si="47"/>
        <v>4500</v>
      </c>
      <c r="K77" s="219">
        <f t="shared" si="48"/>
        <v>4500</v>
      </c>
      <c r="L77" s="219">
        <f t="shared" si="49"/>
        <v>4500</v>
      </c>
      <c r="M77" s="219">
        <f t="shared" si="50"/>
        <v>4500</v>
      </c>
      <c r="N77" s="219">
        <f t="shared" si="51"/>
        <v>4500</v>
      </c>
      <c r="O77" s="219">
        <f t="shared" si="52"/>
        <v>4500</v>
      </c>
      <c r="P77" s="219">
        <f t="shared" si="53"/>
        <v>4500</v>
      </c>
      <c r="Q77" s="219">
        <f t="shared" si="54"/>
        <v>4500</v>
      </c>
      <c r="R77" s="219">
        <f t="shared" si="55"/>
        <v>4500</v>
      </c>
      <c r="S77" s="219">
        <f t="shared" si="56"/>
        <v>4500</v>
      </c>
      <c r="T77" s="219">
        <f t="shared" si="57"/>
        <v>4500</v>
      </c>
      <c r="U77" s="219">
        <f t="shared" si="58"/>
        <v>4500</v>
      </c>
      <c r="V77" s="219">
        <f t="shared" si="59"/>
        <v>4500</v>
      </c>
      <c r="W77" s="219">
        <f t="shared" si="60"/>
        <v>4500</v>
      </c>
      <c r="X77" s="219">
        <f t="shared" si="61"/>
        <v>4500</v>
      </c>
      <c r="Y77" s="219">
        <f t="shared" si="62"/>
        <v>4500</v>
      </c>
      <c r="Z77" s="219">
        <f t="shared" si="63"/>
        <v>4500</v>
      </c>
      <c r="AA77" s="219">
        <f t="shared" si="64"/>
        <v>4500</v>
      </c>
      <c r="AB77" s="219">
        <f t="shared" si="65"/>
        <v>4500</v>
      </c>
      <c r="AC77" s="219">
        <f t="shared" si="66"/>
        <v>4500</v>
      </c>
      <c r="AD77" s="219">
        <f t="shared" si="67"/>
        <v>4500</v>
      </c>
    </row>
    <row r="78" spans="1:30" s="13" customFormat="1" ht="13">
      <c r="A78" s="214" t="s">
        <v>385</v>
      </c>
      <c r="B78" s="214" t="s">
        <v>163</v>
      </c>
      <c r="C78" s="224"/>
      <c r="D78" s="217">
        <v>7.0000000000000007E-2</v>
      </c>
      <c r="E78" s="217">
        <f t="shared" si="42"/>
        <v>7.0000000000000007E-2</v>
      </c>
      <c r="F78" s="217">
        <f t="shared" si="43"/>
        <v>7.0000000000000007E-2</v>
      </c>
      <c r="G78" s="217">
        <f t="shared" si="44"/>
        <v>7.0000000000000007E-2</v>
      </c>
      <c r="H78" s="217">
        <f t="shared" si="45"/>
        <v>7.0000000000000007E-2</v>
      </c>
      <c r="I78" s="217">
        <f t="shared" si="46"/>
        <v>7.0000000000000007E-2</v>
      </c>
      <c r="J78" s="217">
        <f t="shared" si="47"/>
        <v>7.0000000000000007E-2</v>
      </c>
      <c r="K78" s="217">
        <f t="shared" si="48"/>
        <v>7.0000000000000007E-2</v>
      </c>
      <c r="L78" s="217">
        <f t="shared" si="49"/>
        <v>7.0000000000000007E-2</v>
      </c>
      <c r="M78" s="217">
        <f t="shared" si="50"/>
        <v>7.0000000000000007E-2</v>
      </c>
      <c r="N78" s="217">
        <f t="shared" si="51"/>
        <v>7.0000000000000007E-2</v>
      </c>
      <c r="O78" s="217">
        <f t="shared" si="52"/>
        <v>7.0000000000000007E-2</v>
      </c>
      <c r="P78" s="217">
        <f t="shared" si="53"/>
        <v>7.0000000000000007E-2</v>
      </c>
      <c r="Q78" s="217">
        <f t="shared" si="54"/>
        <v>7.0000000000000007E-2</v>
      </c>
      <c r="R78" s="217">
        <f t="shared" si="55"/>
        <v>7.0000000000000007E-2</v>
      </c>
      <c r="S78" s="217">
        <f t="shared" si="56"/>
        <v>7.0000000000000007E-2</v>
      </c>
      <c r="T78" s="217">
        <f t="shared" si="57"/>
        <v>7.0000000000000007E-2</v>
      </c>
      <c r="U78" s="217">
        <f t="shared" si="58"/>
        <v>7.0000000000000007E-2</v>
      </c>
      <c r="V78" s="217">
        <f t="shared" si="59"/>
        <v>7.0000000000000007E-2</v>
      </c>
      <c r="W78" s="217">
        <f t="shared" si="60"/>
        <v>7.0000000000000007E-2</v>
      </c>
      <c r="X78" s="217">
        <f t="shared" si="61"/>
        <v>7.0000000000000007E-2</v>
      </c>
      <c r="Y78" s="217">
        <f t="shared" si="62"/>
        <v>7.0000000000000007E-2</v>
      </c>
      <c r="Z78" s="217">
        <f t="shared" si="63"/>
        <v>7.0000000000000007E-2</v>
      </c>
      <c r="AA78" s="217">
        <f t="shared" si="64"/>
        <v>7.0000000000000007E-2</v>
      </c>
      <c r="AB78" s="217">
        <f t="shared" si="65"/>
        <v>7.0000000000000007E-2</v>
      </c>
      <c r="AC78" s="217">
        <f t="shared" si="66"/>
        <v>7.0000000000000007E-2</v>
      </c>
      <c r="AD78" s="217">
        <f t="shared" si="67"/>
        <v>7.0000000000000007E-2</v>
      </c>
    </row>
    <row r="79" spans="1:30" s="13" customFormat="1" ht="13">
      <c r="A79" s="214" t="s">
        <v>391</v>
      </c>
      <c r="B79" s="214" t="s">
        <v>381</v>
      </c>
      <c r="C79" s="223">
        <f>D79/2204</f>
        <v>2.9945553539019962</v>
      </c>
      <c r="D79" s="219">
        <v>6600</v>
      </c>
      <c r="E79" s="219">
        <f t="shared" si="42"/>
        <v>6600</v>
      </c>
      <c r="F79" s="219">
        <f t="shared" si="43"/>
        <v>6600</v>
      </c>
      <c r="G79" s="219">
        <f t="shared" si="44"/>
        <v>6600</v>
      </c>
      <c r="H79" s="219">
        <f t="shared" si="45"/>
        <v>6600</v>
      </c>
      <c r="I79" s="219">
        <f t="shared" si="46"/>
        <v>6600</v>
      </c>
      <c r="J79" s="219">
        <f t="shared" si="47"/>
        <v>6600</v>
      </c>
      <c r="K79" s="219">
        <f t="shared" si="48"/>
        <v>6600</v>
      </c>
      <c r="L79" s="219">
        <f t="shared" si="49"/>
        <v>6600</v>
      </c>
      <c r="M79" s="219">
        <f t="shared" si="50"/>
        <v>6600</v>
      </c>
      <c r="N79" s="219">
        <f t="shared" si="51"/>
        <v>6600</v>
      </c>
      <c r="O79" s="219">
        <f t="shared" si="52"/>
        <v>6600</v>
      </c>
      <c r="P79" s="219">
        <f t="shared" si="53"/>
        <v>6600</v>
      </c>
      <c r="Q79" s="219">
        <f t="shared" si="54"/>
        <v>6600</v>
      </c>
      <c r="R79" s="219">
        <f t="shared" si="55"/>
        <v>6600</v>
      </c>
      <c r="S79" s="219">
        <f t="shared" si="56"/>
        <v>6600</v>
      </c>
      <c r="T79" s="219">
        <f t="shared" si="57"/>
        <v>6600</v>
      </c>
      <c r="U79" s="219">
        <f t="shared" si="58"/>
        <v>6600</v>
      </c>
      <c r="V79" s="219">
        <f t="shared" si="59"/>
        <v>6600</v>
      </c>
      <c r="W79" s="219">
        <f t="shared" si="60"/>
        <v>6600</v>
      </c>
      <c r="X79" s="219">
        <f t="shared" si="61"/>
        <v>6600</v>
      </c>
      <c r="Y79" s="219">
        <f t="shared" si="62"/>
        <v>6600</v>
      </c>
      <c r="Z79" s="219">
        <f t="shared" si="63"/>
        <v>6600</v>
      </c>
      <c r="AA79" s="219">
        <f t="shared" si="64"/>
        <v>6600</v>
      </c>
      <c r="AB79" s="219">
        <f t="shared" si="65"/>
        <v>6600</v>
      </c>
      <c r="AC79" s="219">
        <f t="shared" si="66"/>
        <v>6600</v>
      </c>
      <c r="AD79" s="219">
        <f t="shared" si="67"/>
        <v>6600</v>
      </c>
    </row>
    <row r="80" spans="1:30" s="13" customFormat="1" ht="13">
      <c r="A80" s="214" t="s">
        <v>385</v>
      </c>
      <c r="B80" s="214" t="s">
        <v>163</v>
      </c>
      <c r="C80" s="225"/>
      <c r="D80" s="217">
        <v>0.08</v>
      </c>
      <c r="E80" s="217">
        <f t="shared" si="42"/>
        <v>0.08</v>
      </c>
      <c r="F80" s="217">
        <f t="shared" si="43"/>
        <v>0.08</v>
      </c>
      <c r="G80" s="217">
        <f t="shared" si="44"/>
        <v>0.08</v>
      </c>
      <c r="H80" s="217">
        <f t="shared" si="45"/>
        <v>0.08</v>
      </c>
      <c r="I80" s="217">
        <f t="shared" si="46"/>
        <v>0.08</v>
      </c>
      <c r="J80" s="217">
        <f t="shared" si="47"/>
        <v>0.08</v>
      </c>
      <c r="K80" s="217">
        <f t="shared" si="48"/>
        <v>0.08</v>
      </c>
      <c r="L80" s="217">
        <f t="shared" si="49"/>
        <v>0.08</v>
      </c>
      <c r="M80" s="217">
        <f t="shared" si="50"/>
        <v>0.08</v>
      </c>
      <c r="N80" s="217">
        <f t="shared" si="51"/>
        <v>0.08</v>
      </c>
      <c r="O80" s="217">
        <f t="shared" si="52"/>
        <v>0.08</v>
      </c>
      <c r="P80" s="217">
        <f t="shared" si="53"/>
        <v>0.08</v>
      </c>
      <c r="Q80" s="217">
        <f t="shared" si="54"/>
        <v>0.08</v>
      </c>
      <c r="R80" s="217">
        <f t="shared" si="55"/>
        <v>0.08</v>
      </c>
      <c r="S80" s="217">
        <f t="shared" si="56"/>
        <v>0.08</v>
      </c>
      <c r="T80" s="217">
        <f t="shared" si="57"/>
        <v>0.08</v>
      </c>
      <c r="U80" s="217">
        <f t="shared" si="58"/>
        <v>0.08</v>
      </c>
      <c r="V80" s="217">
        <f t="shared" si="59"/>
        <v>0.08</v>
      </c>
      <c r="W80" s="217">
        <f t="shared" si="60"/>
        <v>0.08</v>
      </c>
      <c r="X80" s="217">
        <f t="shared" si="61"/>
        <v>0.08</v>
      </c>
      <c r="Y80" s="217">
        <f t="shared" si="62"/>
        <v>0.08</v>
      </c>
      <c r="Z80" s="217">
        <f t="shared" si="63"/>
        <v>0.08</v>
      </c>
      <c r="AA80" s="217">
        <f t="shared" si="64"/>
        <v>0.08</v>
      </c>
      <c r="AB80" s="217">
        <f t="shared" si="65"/>
        <v>0.08</v>
      </c>
      <c r="AC80" s="217">
        <f t="shared" si="66"/>
        <v>0.08</v>
      </c>
      <c r="AD80" s="217">
        <f t="shared" si="67"/>
        <v>0.08</v>
      </c>
    </row>
    <row r="81" spans="1:30" s="13" customFormat="1" ht="13">
      <c r="A81" s="214" t="s">
        <v>391</v>
      </c>
      <c r="B81" s="214" t="s">
        <v>381</v>
      </c>
      <c r="C81" s="223">
        <f>D81/2204</f>
        <v>3.9927404718693285</v>
      </c>
      <c r="D81" s="219">
        <v>8800</v>
      </c>
      <c r="E81" s="219">
        <f t="shared" si="42"/>
        <v>8800</v>
      </c>
      <c r="F81" s="219">
        <f t="shared" si="43"/>
        <v>8800</v>
      </c>
      <c r="G81" s="219">
        <f t="shared" si="44"/>
        <v>8800</v>
      </c>
      <c r="H81" s="219">
        <f t="shared" si="45"/>
        <v>8800</v>
      </c>
      <c r="I81" s="219">
        <f t="shared" si="46"/>
        <v>8800</v>
      </c>
      <c r="J81" s="219">
        <f t="shared" si="47"/>
        <v>8800</v>
      </c>
      <c r="K81" s="219">
        <f t="shared" si="48"/>
        <v>8800</v>
      </c>
      <c r="L81" s="219">
        <f t="shared" si="49"/>
        <v>8800</v>
      </c>
      <c r="M81" s="219">
        <f t="shared" si="50"/>
        <v>8800</v>
      </c>
      <c r="N81" s="219">
        <f t="shared" si="51"/>
        <v>8800</v>
      </c>
      <c r="O81" s="219">
        <f t="shared" si="52"/>
        <v>8800</v>
      </c>
      <c r="P81" s="219">
        <f t="shared" si="53"/>
        <v>8800</v>
      </c>
      <c r="Q81" s="219">
        <f t="shared" si="54"/>
        <v>8800</v>
      </c>
      <c r="R81" s="219">
        <f t="shared" si="55"/>
        <v>8800</v>
      </c>
      <c r="S81" s="219">
        <f t="shared" si="56"/>
        <v>8800</v>
      </c>
      <c r="T81" s="219">
        <f t="shared" si="57"/>
        <v>8800</v>
      </c>
      <c r="U81" s="219">
        <f t="shared" si="58"/>
        <v>8800</v>
      </c>
      <c r="V81" s="219">
        <f t="shared" si="59"/>
        <v>8800</v>
      </c>
      <c r="W81" s="219">
        <f t="shared" si="60"/>
        <v>8800</v>
      </c>
      <c r="X81" s="219">
        <f t="shared" si="61"/>
        <v>8800</v>
      </c>
      <c r="Y81" s="219">
        <f t="shared" si="62"/>
        <v>8800</v>
      </c>
      <c r="Z81" s="219">
        <f t="shared" si="63"/>
        <v>8800</v>
      </c>
      <c r="AA81" s="219">
        <f t="shared" si="64"/>
        <v>8800</v>
      </c>
      <c r="AB81" s="219">
        <f t="shared" si="65"/>
        <v>8800</v>
      </c>
      <c r="AC81" s="219">
        <f t="shared" si="66"/>
        <v>8800</v>
      </c>
      <c r="AD81" s="219">
        <f t="shared" si="67"/>
        <v>8800</v>
      </c>
    </row>
    <row r="82" spans="1:30" s="13" customFormat="1" ht="13">
      <c r="A82" s="214" t="s">
        <v>385</v>
      </c>
      <c r="B82" s="214" t="s">
        <v>163</v>
      </c>
      <c r="C82" s="225"/>
      <c r="D82" s="217">
        <v>0.09</v>
      </c>
      <c r="E82" s="217">
        <f t="shared" si="42"/>
        <v>0.09</v>
      </c>
      <c r="F82" s="217">
        <f t="shared" si="43"/>
        <v>0.09</v>
      </c>
      <c r="G82" s="217">
        <f t="shared" si="44"/>
        <v>0.09</v>
      </c>
      <c r="H82" s="217">
        <f t="shared" si="45"/>
        <v>0.09</v>
      </c>
      <c r="I82" s="217">
        <f t="shared" si="46"/>
        <v>0.09</v>
      </c>
      <c r="J82" s="217">
        <f t="shared" si="47"/>
        <v>0.09</v>
      </c>
      <c r="K82" s="217">
        <f t="shared" si="48"/>
        <v>0.09</v>
      </c>
      <c r="L82" s="217">
        <f t="shared" si="49"/>
        <v>0.09</v>
      </c>
      <c r="M82" s="217">
        <f t="shared" si="50"/>
        <v>0.09</v>
      </c>
      <c r="N82" s="217">
        <f t="shared" si="51"/>
        <v>0.09</v>
      </c>
      <c r="O82" s="217">
        <f t="shared" si="52"/>
        <v>0.09</v>
      </c>
      <c r="P82" s="217">
        <f t="shared" si="53"/>
        <v>0.09</v>
      </c>
      <c r="Q82" s="217">
        <f t="shared" si="54"/>
        <v>0.09</v>
      </c>
      <c r="R82" s="217">
        <f t="shared" si="55"/>
        <v>0.09</v>
      </c>
      <c r="S82" s="217">
        <f t="shared" si="56"/>
        <v>0.09</v>
      </c>
      <c r="T82" s="217">
        <f t="shared" si="57"/>
        <v>0.09</v>
      </c>
      <c r="U82" s="217">
        <f t="shared" si="58"/>
        <v>0.09</v>
      </c>
      <c r="V82" s="217">
        <f t="shared" si="59"/>
        <v>0.09</v>
      </c>
      <c r="W82" s="217">
        <f t="shared" si="60"/>
        <v>0.09</v>
      </c>
      <c r="X82" s="217">
        <f t="shared" si="61"/>
        <v>0.09</v>
      </c>
      <c r="Y82" s="217">
        <f t="shared" si="62"/>
        <v>0.09</v>
      </c>
      <c r="Z82" s="217">
        <f t="shared" si="63"/>
        <v>0.09</v>
      </c>
      <c r="AA82" s="217">
        <f t="shared" si="64"/>
        <v>0.09</v>
      </c>
      <c r="AB82" s="217">
        <f t="shared" si="65"/>
        <v>0.09</v>
      </c>
      <c r="AC82" s="217">
        <f t="shared" si="66"/>
        <v>0.09</v>
      </c>
      <c r="AD82" s="217">
        <f t="shared" si="67"/>
        <v>0.09</v>
      </c>
    </row>
    <row r="83" spans="1:30" s="13" customFormat="1" ht="13">
      <c r="A83" s="214" t="s">
        <v>391</v>
      </c>
      <c r="B83" s="214" t="s">
        <v>381</v>
      </c>
      <c r="C83" s="223">
        <f>D83/2204</f>
        <v>4.9909255898366602</v>
      </c>
      <c r="D83" s="219">
        <v>11000</v>
      </c>
      <c r="E83" s="219">
        <f t="shared" si="42"/>
        <v>11000</v>
      </c>
      <c r="F83" s="219">
        <f t="shared" si="43"/>
        <v>11000</v>
      </c>
      <c r="G83" s="219">
        <f t="shared" si="44"/>
        <v>11000</v>
      </c>
      <c r="H83" s="219">
        <f t="shared" si="45"/>
        <v>11000</v>
      </c>
      <c r="I83" s="219">
        <f t="shared" si="46"/>
        <v>11000</v>
      </c>
      <c r="J83" s="219">
        <f t="shared" si="47"/>
        <v>11000</v>
      </c>
      <c r="K83" s="219">
        <f t="shared" si="48"/>
        <v>11000</v>
      </c>
      <c r="L83" s="219">
        <f t="shared" si="49"/>
        <v>11000</v>
      </c>
      <c r="M83" s="219">
        <f t="shared" si="50"/>
        <v>11000</v>
      </c>
      <c r="N83" s="219">
        <f t="shared" si="51"/>
        <v>11000</v>
      </c>
      <c r="O83" s="219">
        <f t="shared" si="52"/>
        <v>11000</v>
      </c>
      <c r="P83" s="219">
        <f t="shared" si="53"/>
        <v>11000</v>
      </c>
      <c r="Q83" s="219">
        <f t="shared" si="54"/>
        <v>11000</v>
      </c>
      <c r="R83" s="219">
        <f t="shared" si="55"/>
        <v>11000</v>
      </c>
      <c r="S83" s="219">
        <f t="shared" si="56"/>
        <v>11000</v>
      </c>
      <c r="T83" s="219">
        <f t="shared" si="57"/>
        <v>11000</v>
      </c>
      <c r="U83" s="219">
        <f t="shared" si="58"/>
        <v>11000</v>
      </c>
      <c r="V83" s="219">
        <f t="shared" si="59"/>
        <v>11000</v>
      </c>
      <c r="W83" s="219">
        <f t="shared" si="60"/>
        <v>11000</v>
      </c>
      <c r="X83" s="219">
        <f t="shared" si="61"/>
        <v>11000</v>
      </c>
      <c r="Y83" s="219">
        <f t="shared" si="62"/>
        <v>11000</v>
      </c>
      <c r="Z83" s="219">
        <f t="shared" si="63"/>
        <v>11000</v>
      </c>
      <c r="AA83" s="219">
        <f t="shared" si="64"/>
        <v>11000</v>
      </c>
      <c r="AB83" s="219">
        <f t="shared" si="65"/>
        <v>11000</v>
      </c>
      <c r="AC83" s="219">
        <f t="shared" si="66"/>
        <v>11000</v>
      </c>
      <c r="AD83" s="219">
        <f t="shared" si="67"/>
        <v>11000</v>
      </c>
    </row>
    <row r="84" spans="1:30" s="13" customFormat="1" ht="13">
      <c r="A84" s="214" t="s">
        <v>385</v>
      </c>
      <c r="B84" s="214" t="s">
        <v>163</v>
      </c>
      <c r="C84" s="215"/>
      <c r="D84" s="217">
        <v>0.1</v>
      </c>
      <c r="E84" s="217">
        <f t="shared" si="42"/>
        <v>0.1</v>
      </c>
      <c r="F84" s="217">
        <f t="shared" si="43"/>
        <v>0.1</v>
      </c>
      <c r="G84" s="217">
        <f t="shared" si="44"/>
        <v>0.1</v>
      </c>
      <c r="H84" s="217">
        <f t="shared" si="45"/>
        <v>0.1</v>
      </c>
      <c r="I84" s="217">
        <f t="shared" si="46"/>
        <v>0.1</v>
      </c>
      <c r="J84" s="217">
        <f t="shared" si="47"/>
        <v>0.1</v>
      </c>
      <c r="K84" s="217">
        <f t="shared" si="48"/>
        <v>0.1</v>
      </c>
      <c r="L84" s="217">
        <f t="shared" si="49"/>
        <v>0.1</v>
      </c>
      <c r="M84" s="217">
        <f t="shared" si="50"/>
        <v>0.1</v>
      </c>
      <c r="N84" s="217">
        <f t="shared" si="51"/>
        <v>0.1</v>
      </c>
      <c r="O84" s="217">
        <f t="shared" si="52"/>
        <v>0.1</v>
      </c>
      <c r="P84" s="217">
        <f t="shared" si="53"/>
        <v>0.1</v>
      </c>
      <c r="Q84" s="217">
        <f t="shared" si="54"/>
        <v>0.1</v>
      </c>
      <c r="R84" s="217">
        <f t="shared" si="55"/>
        <v>0.1</v>
      </c>
      <c r="S84" s="217">
        <f t="shared" si="56"/>
        <v>0.1</v>
      </c>
      <c r="T84" s="217">
        <f t="shared" si="57"/>
        <v>0.1</v>
      </c>
      <c r="U84" s="217">
        <f t="shared" si="58"/>
        <v>0.1</v>
      </c>
      <c r="V84" s="217">
        <f t="shared" si="59"/>
        <v>0.1</v>
      </c>
      <c r="W84" s="217">
        <f t="shared" si="60"/>
        <v>0.1</v>
      </c>
      <c r="X84" s="217">
        <f t="shared" si="61"/>
        <v>0.1</v>
      </c>
      <c r="Y84" s="217">
        <f t="shared" si="62"/>
        <v>0.1</v>
      </c>
      <c r="Z84" s="217">
        <f t="shared" si="63"/>
        <v>0.1</v>
      </c>
      <c r="AA84" s="217">
        <f t="shared" si="64"/>
        <v>0.1</v>
      </c>
      <c r="AB84" s="217">
        <f t="shared" si="65"/>
        <v>0.1</v>
      </c>
      <c r="AC84" s="217">
        <f t="shared" si="66"/>
        <v>0.1</v>
      </c>
      <c r="AD84" s="217">
        <f t="shared" si="67"/>
        <v>0.1</v>
      </c>
    </row>
    <row r="85" spans="1:30" s="13" customFormat="1" ht="13">
      <c r="C85" s="15"/>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row>
    <row r="86" spans="1:30" s="13" customFormat="1">
      <c r="A86" s="97" t="s">
        <v>165</v>
      </c>
      <c r="C86" s="15"/>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row>
    <row r="87" spans="1:30" s="13" customFormat="1" ht="13">
      <c r="A87" s="214" t="s">
        <v>386</v>
      </c>
      <c r="B87" s="214" t="s">
        <v>163</v>
      </c>
      <c r="C87" s="218"/>
      <c r="D87" s="220">
        <v>0.05</v>
      </c>
      <c r="E87" s="220">
        <f t="shared" ref="E87" si="68">D87</f>
        <v>0.05</v>
      </c>
      <c r="F87" s="220">
        <f t="shared" ref="F87" si="69">E87</f>
        <v>0.05</v>
      </c>
      <c r="G87" s="220">
        <f t="shared" ref="G87" si="70">F87</f>
        <v>0.05</v>
      </c>
      <c r="H87" s="220">
        <f t="shared" ref="H87" si="71">G87</f>
        <v>0.05</v>
      </c>
      <c r="I87" s="220">
        <f t="shared" ref="I87" si="72">H87</f>
        <v>0.05</v>
      </c>
      <c r="J87" s="220">
        <f t="shared" ref="J87" si="73">I87</f>
        <v>0.05</v>
      </c>
      <c r="K87" s="220">
        <f t="shared" ref="K87" si="74">J87</f>
        <v>0.05</v>
      </c>
      <c r="L87" s="220">
        <f t="shared" ref="L87" si="75">K87</f>
        <v>0.05</v>
      </c>
      <c r="M87" s="220">
        <f t="shared" ref="M87" si="76">L87</f>
        <v>0.05</v>
      </c>
      <c r="N87" s="220">
        <f t="shared" ref="N87" si="77">M87</f>
        <v>0.05</v>
      </c>
      <c r="O87" s="220">
        <f t="shared" ref="O87" si="78">N87</f>
        <v>0.05</v>
      </c>
      <c r="P87" s="220">
        <f t="shared" ref="P87" si="79">O87</f>
        <v>0.05</v>
      </c>
      <c r="Q87" s="220">
        <f t="shared" ref="Q87" si="80">P87</f>
        <v>0.05</v>
      </c>
      <c r="R87" s="220">
        <f t="shared" ref="R87" si="81">Q87</f>
        <v>0.05</v>
      </c>
      <c r="S87" s="220">
        <f t="shared" ref="S87" si="82">R87</f>
        <v>0.05</v>
      </c>
      <c r="T87" s="220">
        <f t="shared" ref="T87" si="83">S87</f>
        <v>0.05</v>
      </c>
      <c r="U87" s="220">
        <f t="shared" ref="U87" si="84">T87</f>
        <v>0.05</v>
      </c>
      <c r="V87" s="220">
        <f t="shared" ref="V87" si="85">U87</f>
        <v>0.05</v>
      </c>
      <c r="W87" s="220">
        <f t="shared" ref="W87" si="86">V87</f>
        <v>0.05</v>
      </c>
      <c r="X87" s="220">
        <f t="shared" ref="X87" si="87">W87</f>
        <v>0.05</v>
      </c>
      <c r="Y87" s="220">
        <f t="shared" ref="Y87" si="88">X87</f>
        <v>0.05</v>
      </c>
      <c r="Z87" s="220">
        <f t="shared" ref="Z87" si="89">Y87</f>
        <v>0.05</v>
      </c>
      <c r="AA87" s="220">
        <f t="shared" ref="AA87" si="90">Z87</f>
        <v>0.05</v>
      </c>
      <c r="AB87" s="220">
        <f t="shared" ref="AB87" si="91">AA87</f>
        <v>0.05</v>
      </c>
      <c r="AC87" s="220">
        <f t="shared" ref="AC87" si="92">AB87</f>
        <v>0.05</v>
      </c>
      <c r="AD87" s="220">
        <f t="shared" ref="AD87" si="93">AC87</f>
        <v>0.05</v>
      </c>
    </row>
    <row r="88" spans="1:30" s="13" customFormat="1" ht="13">
      <c r="C88" s="15"/>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row>
    <row r="89" spans="1:30" s="13" customFormat="1">
      <c r="A89" s="97" t="s">
        <v>166</v>
      </c>
      <c r="C89" s="15"/>
      <c r="D89" s="38"/>
      <c r="E89" s="38"/>
      <c r="F89" s="38"/>
      <c r="G89" s="38"/>
      <c r="H89" s="38"/>
      <c r="I89" s="38"/>
      <c r="J89" s="38"/>
      <c r="K89" s="38"/>
      <c r="L89" s="38"/>
      <c r="M89" s="38"/>
      <c r="N89" s="38"/>
      <c r="O89" s="38"/>
      <c r="P89" s="38"/>
      <c r="Q89" s="38"/>
      <c r="R89" s="38"/>
      <c r="S89" s="38"/>
      <c r="T89" s="38"/>
      <c r="U89" s="38"/>
      <c r="V89" s="38"/>
      <c r="W89" s="38"/>
      <c r="X89" s="38"/>
      <c r="Y89" s="38"/>
      <c r="Z89" s="38"/>
      <c r="AA89" s="38"/>
      <c r="AB89" s="38"/>
      <c r="AC89" s="38"/>
      <c r="AD89" s="38"/>
    </row>
    <row r="90" spans="1:30" s="13" customFormat="1" ht="13">
      <c r="A90" s="214" t="s">
        <v>387</v>
      </c>
      <c r="B90" s="214" t="s">
        <v>163</v>
      </c>
      <c r="C90" s="218"/>
      <c r="D90" s="220">
        <v>0.05</v>
      </c>
      <c r="E90" s="220">
        <f t="shared" ref="E90" si="94">D90</f>
        <v>0.05</v>
      </c>
      <c r="F90" s="220">
        <f t="shared" ref="F90" si="95">E90</f>
        <v>0.05</v>
      </c>
      <c r="G90" s="220">
        <f t="shared" ref="G90" si="96">F90</f>
        <v>0.05</v>
      </c>
      <c r="H90" s="220">
        <f t="shared" ref="H90" si="97">G90</f>
        <v>0.05</v>
      </c>
      <c r="I90" s="220">
        <f t="shared" ref="I90" si="98">H90</f>
        <v>0.05</v>
      </c>
      <c r="J90" s="220">
        <f t="shared" ref="J90" si="99">I90</f>
        <v>0.05</v>
      </c>
      <c r="K90" s="220">
        <f t="shared" ref="K90" si="100">J90</f>
        <v>0.05</v>
      </c>
      <c r="L90" s="220">
        <f t="shared" ref="L90" si="101">K90</f>
        <v>0.05</v>
      </c>
      <c r="M90" s="220">
        <f t="shared" ref="M90" si="102">L90</f>
        <v>0.05</v>
      </c>
      <c r="N90" s="220">
        <f t="shared" ref="N90" si="103">M90</f>
        <v>0.05</v>
      </c>
      <c r="O90" s="220">
        <f t="shared" ref="O90" si="104">N90</f>
        <v>0.05</v>
      </c>
      <c r="P90" s="220">
        <f t="shared" ref="P90" si="105">O90</f>
        <v>0.05</v>
      </c>
      <c r="Q90" s="217">
        <f t="shared" ref="Q90" si="106">P90</f>
        <v>0.05</v>
      </c>
      <c r="R90" s="217">
        <f t="shared" ref="R90" si="107">Q90</f>
        <v>0.05</v>
      </c>
      <c r="S90" s="217">
        <f t="shared" ref="S90" si="108">R90</f>
        <v>0.05</v>
      </c>
      <c r="T90" s="217">
        <f t="shared" ref="T90" si="109">S90</f>
        <v>0.05</v>
      </c>
      <c r="U90" s="217">
        <f t="shared" ref="U90" si="110">T90</f>
        <v>0.05</v>
      </c>
      <c r="V90" s="217">
        <f t="shared" ref="V90" si="111">U90</f>
        <v>0.05</v>
      </c>
      <c r="W90" s="217">
        <f t="shared" ref="W90" si="112">V90</f>
        <v>0.05</v>
      </c>
      <c r="X90" s="217">
        <f t="shared" ref="X90" si="113">W90</f>
        <v>0.05</v>
      </c>
      <c r="Y90" s="217">
        <f t="shared" ref="Y90" si="114">X90</f>
        <v>0.05</v>
      </c>
      <c r="Z90" s="217">
        <f t="shared" ref="Z90" si="115">Y90</f>
        <v>0.05</v>
      </c>
      <c r="AA90" s="217">
        <f t="shared" ref="AA90" si="116">Z90</f>
        <v>0.05</v>
      </c>
      <c r="AB90" s="217">
        <f t="shared" ref="AB90" si="117">AA90</f>
        <v>0.05</v>
      </c>
      <c r="AC90" s="217">
        <f t="shared" ref="AC90" si="118">AB90</f>
        <v>0.05</v>
      </c>
      <c r="AD90" s="217">
        <f t="shared" ref="AD90" si="119">AC90</f>
        <v>0.05</v>
      </c>
    </row>
    <row r="91" spans="1:30" s="13" customFormat="1" ht="13">
      <c r="C91" s="15"/>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row>
    <row r="92" spans="1:30" s="13" customFormat="1">
      <c r="A92" s="97" t="s">
        <v>167</v>
      </c>
      <c r="C92" s="15"/>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row>
    <row r="93" spans="1:30" s="13" customFormat="1" ht="13">
      <c r="A93" s="214" t="s">
        <v>388</v>
      </c>
      <c r="B93" s="214" t="s">
        <v>163</v>
      </c>
      <c r="C93" s="218"/>
      <c r="D93" s="220">
        <v>0.03</v>
      </c>
      <c r="E93" s="220">
        <f t="shared" ref="E93" si="120">D93</f>
        <v>0.03</v>
      </c>
      <c r="F93" s="220">
        <f t="shared" ref="F93" si="121">E93</f>
        <v>0.03</v>
      </c>
      <c r="G93" s="220">
        <f t="shared" ref="G93" si="122">F93</f>
        <v>0.03</v>
      </c>
      <c r="H93" s="220">
        <f t="shared" ref="H93" si="123">G93</f>
        <v>0.03</v>
      </c>
      <c r="I93" s="220">
        <f t="shared" ref="I93" si="124">H93</f>
        <v>0.03</v>
      </c>
      <c r="J93" s="220">
        <f t="shared" ref="J93" si="125">I93</f>
        <v>0.03</v>
      </c>
      <c r="K93" s="220">
        <f t="shared" ref="K93" si="126">J93</f>
        <v>0.03</v>
      </c>
      <c r="L93" s="220">
        <f t="shared" ref="L93" si="127">K93</f>
        <v>0.03</v>
      </c>
      <c r="M93" s="220">
        <f t="shared" ref="M93" si="128">L93</f>
        <v>0.03</v>
      </c>
      <c r="N93" s="220">
        <f t="shared" ref="N93" si="129">M93</f>
        <v>0.03</v>
      </c>
      <c r="O93" s="220">
        <f t="shared" ref="O93" si="130">N93</f>
        <v>0.03</v>
      </c>
      <c r="P93" s="220">
        <f t="shared" ref="P93" si="131">O93</f>
        <v>0.03</v>
      </c>
      <c r="Q93" s="220">
        <f t="shared" ref="Q93" si="132">P93</f>
        <v>0.03</v>
      </c>
      <c r="R93" s="220">
        <f t="shared" ref="R93" si="133">Q93</f>
        <v>0.03</v>
      </c>
      <c r="S93" s="220">
        <f t="shared" ref="S93" si="134">R93</f>
        <v>0.03</v>
      </c>
      <c r="T93" s="220">
        <f t="shared" ref="T93" si="135">S93</f>
        <v>0.03</v>
      </c>
      <c r="U93" s="220">
        <f t="shared" ref="U93" si="136">T93</f>
        <v>0.03</v>
      </c>
      <c r="V93" s="220">
        <f t="shared" ref="V93" si="137">U93</f>
        <v>0.03</v>
      </c>
      <c r="W93" s="220">
        <f t="shared" ref="W93" si="138">V93</f>
        <v>0.03</v>
      </c>
      <c r="X93" s="220">
        <f t="shared" ref="X93" si="139">W93</f>
        <v>0.03</v>
      </c>
      <c r="Y93" s="220">
        <f t="shared" ref="Y93" si="140">X93</f>
        <v>0.03</v>
      </c>
      <c r="Z93" s="220">
        <f t="shared" ref="Z93" si="141">Y93</f>
        <v>0.03</v>
      </c>
      <c r="AA93" s="220">
        <f t="shared" ref="AA93" si="142">Z93</f>
        <v>0.03</v>
      </c>
      <c r="AB93" s="220">
        <f t="shared" ref="AB93" si="143">AA93</f>
        <v>0.03</v>
      </c>
      <c r="AC93" s="220">
        <f t="shared" ref="AC93" si="144">AB93</f>
        <v>0.03</v>
      </c>
      <c r="AD93" s="220">
        <f t="shared" ref="AD93" si="145">AC93</f>
        <v>0.03</v>
      </c>
    </row>
    <row r="94" spans="1:30" s="18" customFormat="1" ht="42" customHeight="1">
      <c r="A94" s="23" t="s">
        <v>222</v>
      </c>
      <c r="C94" s="6"/>
      <c r="D94" s="86"/>
      <c r="E94" s="86"/>
      <c r="F94" s="86"/>
      <c r="G94" s="86"/>
      <c r="H94" s="86"/>
      <c r="I94" s="86"/>
      <c r="J94" s="86"/>
      <c r="K94" s="86"/>
      <c r="L94" s="86"/>
      <c r="M94" s="86"/>
      <c r="N94" s="86"/>
      <c r="O94" s="86"/>
      <c r="P94" s="86"/>
      <c r="Q94" s="86"/>
      <c r="R94" s="86"/>
      <c r="S94" s="86"/>
      <c r="T94" s="86"/>
      <c r="U94" s="86"/>
      <c r="V94" s="86"/>
      <c r="W94" s="86"/>
      <c r="X94" s="86"/>
      <c r="Y94" s="86"/>
      <c r="Z94" s="86"/>
      <c r="AA94" s="86"/>
      <c r="AB94" s="86"/>
      <c r="AC94" s="86"/>
      <c r="AD94" s="86"/>
    </row>
    <row r="95" spans="1:30" s="13" customFormat="1" ht="13">
      <c r="A95" s="134" t="s">
        <v>535</v>
      </c>
      <c r="C95" s="15"/>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row>
    <row r="96" spans="1:30" s="60" customFormat="1" ht="13">
      <c r="A96" s="214" t="s">
        <v>143</v>
      </c>
      <c r="B96" s="214" t="s">
        <v>293</v>
      </c>
      <c r="C96" s="217"/>
      <c r="D96" s="226">
        <v>3</v>
      </c>
      <c r="E96" s="226">
        <f t="shared" ref="E96" si="146">D96</f>
        <v>3</v>
      </c>
      <c r="F96" s="226">
        <f t="shared" ref="F96" si="147">E96</f>
        <v>3</v>
      </c>
      <c r="G96" s="226">
        <f t="shared" ref="G96" si="148">F96</f>
        <v>3</v>
      </c>
      <c r="H96" s="226">
        <f t="shared" ref="H96" si="149">G96</f>
        <v>3</v>
      </c>
      <c r="I96" s="226">
        <f t="shared" ref="I96" si="150">H96</f>
        <v>3</v>
      </c>
      <c r="J96" s="226">
        <f t="shared" ref="J96" si="151">I96</f>
        <v>3</v>
      </c>
      <c r="K96" s="226">
        <f t="shared" ref="K96" si="152">J96</f>
        <v>3</v>
      </c>
      <c r="L96" s="226">
        <f t="shared" ref="L96" si="153">K96</f>
        <v>3</v>
      </c>
      <c r="M96" s="226">
        <f t="shared" ref="M96" si="154">L96</f>
        <v>3</v>
      </c>
      <c r="N96" s="226">
        <f t="shared" ref="N96" si="155">M96</f>
        <v>3</v>
      </c>
      <c r="O96" s="226">
        <f t="shared" ref="O96" si="156">N96</f>
        <v>3</v>
      </c>
      <c r="P96" s="226">
        <f t="shared" ref="P96" si="157">O96</f>
        <v>3</v>
      </c>
      <c r="Q96" s="219">
        <f t="shared" ref="Q96" si="158">P96</f>
        <v>3</v>
      </c>
      <c r="R96" s="219">
        <f t="shared" ref="R96" si="159">Q96</f>
        <v>3</v>
      </c>
      <c r="S96" s="219">
        <f t="shared" ref="S96" si="160">R96</f>
        <v>3</v>
      </c>
      <c r="T96" s="219">
        <f t="shared" ref="T96" si="161">S96</f>
        <v>3</v>
      </c>
      <c r="U96" s="219">
        <f t="shared" ref="U96" si="162">T96</f>
        <v>3</v>
      </c>
      <c r="V96" s="219">
        <f t="shared" ref="V96" si="163">U96</f>
        <v>3</v>
      </c>
      <c r="W96" s="219">
        <f t="shared" ref="W96" si="164">V96</f>
        <v>3</v>
      </c>
      <c r="X96" s="219">
        <f t="shared" ref="X96" si="165">W96</f>
        <v>3</v>
      </c>
      <c r="Y96" s="219">
        <f t="shared" ref="Y96" si="166">X96</f>
        <v>3</v>
      </c>
      <c r="Z96" s="219">
        <f t="shared" ref="Z96" si="167">Y96</f>
        <v>3</v>
      </c>
      <c r="AA96" s="219">
        <f t="shared" ref="AA96" si="168">Z96</f>
        <v>3</v>
      </c>
      <c r="AB96" s="219">
        <f t="shared" ref="AB96" si="169">AA96</f>
        <v>3</v>
      </c>
      <c r="AC96" s="219">
        <f t="shared" ref="AC96" si="170">AB96</f>
        <v>3</v>
      </c>
      <c r="AD96" s="219">
        <f t="shared" ref="AD96" si="171">AC96</f>
        <v>3</v>
      </c>
    </row>
    <row r="97" spans="1:30" s="60" customFormat="1" ht="13">
      <c r="A97" s="214" t="s">
        <v>142</v>
      </c>
      <c r="B97" s="214" t="s">
        <v>92</v>
      </c>
      <c r="C97" s="217"/>
      <c r="D97" s="217">
        <v>0.1</v>
      </c>
      <c r="E97" s="217">
        <f t="shared" ref="E97" si="172">D97</f>
        <v>0.1</v>
      </c>
      <c r="F97" s="217">
        <f t="shared" ref="F97" si="173">E97</f>
        <v>0.1</v>
      </c>
      <c r="G97" s="217">
        <f t="shared" ref="G97" si="174">F97</f>
        <v>0.1</v>
      </c>
      <c r="H97" s="217">
        <f t="shared" ref="H97" si="175">G97</f>
        <v>0.1</v>
      </c>
      <c r="I97" s="217">
        <f t="shared" ref="I97" si="176">H97</f>
        <v>0.1</v>
      </c>
      <c r="J97" s="217">
        <f t="shared" ref="J97" si="177">I97</f>
        <v>0.1</v>
      </c>
      <c r="K97" s="217">
        <f t="shared" ref="K97" si="178">J97</f>
        <v>0.1</v>
      </c>
      <c r="L97" s="217">
        <f t="shared" ref="L97" si="179">K97</f>
        <v>0.1</v>
      </c>
      <c r="M97" s="217">
        <f t="shared" ref="M97" si="180">L97</f>
        <v>0.1</v>
      </c>
      <c r="N97" s="217">
        <f t="shared" ref="N97" si="181">M97</f>
        <v>0.1</v>
      </c>
      <c r="O97" s="217">
        <f t="shared" ref="O97" si="182">N97</f>
        <v>0.1</v>
      </c>
      <c r="P97" s="217">
        <f t="shared" ref="P97" si="183">O97</f>
        <v>0.1</v>
      </c>
      <c r="Q97" s="217">
        <f t="shared" ref="Q97" si="184">P97</f>
        <v>0.1</v>
      </c>
      <c r="R97" s="217">
        <f t="shared" ref="R97" si="185">Q97</f>
        <v>0.1</v>
      </c>
      <c r="S97" s="217">
        <f t="shared" ref="S97" si="186">R97</f>
        <v>0.1</v>
      </c>
      <c r="T97" s="217">
        <f t="shared" ref="T97" si="187">S97</f>
        <v>0.1</v>
      </c>
      <c r="U97" s="217">
        <f t="shared" ref="U97" si="188">T97</f>
        <v>0.1</v>
      </c>
      <c r="V97" s="217">
        <f t="shared" ref="V97" si="189">U97</f>
        <v>0.1</v>
      </c>
      <c r="W97" s="217">
        <f t="shared" ref="W97" si="190">V97</f>
        <v>0.1</v>
      </c>
      <c r="X97" s="217">
        <f t="shared" ref="X97" si="191">W97</f>
        <v>0.1</v>
      </c>
      <c r="Y97" s="217">
        <f t="shared" ref="Y97" si="192">X97</f>
        <v>0.1</v>
      </c>
      <c r="Z97" s="217">
        <f t="shared" ref="Z97" si="193">Y97</f>
        <v>0.1</v>
      </c>
      <c r="AA97" s="217">
        <f t="shared" ref="AA97" si="194">Z97</f>
        <v>0.1</v>
      </c>
      <c r="AB97" s="217">
        <f t="shared" ref="AB97" si="195">AA97</f>
        <v>0.1</v>
      </c>
      <c r="AC97" s="217">
        <f t="shared" ref="AC97" si="196">AB97</f>
        <v>0.1</v>
      </c>
      <c r="AD97" s="217">
        <f t="shared" ref="AD97" si="197">AC97</f>
        <v>0.1</v>
      </c>
    </row>
    <row r="98" spans="1:30" s="60" customFormat="1" ht="13">
      <c r="A98" s="214" t="s">
        <v>223</v>
      </c>
      <c r="B98" s="214" t="s">
        <v>92</v>
      </c>
      <c r="C98" s="217"/>
      <c r="D98" s="217">
        <v>0.25</v>
      </c>
      <c r="E98" s="217">
        <f t="shared" ref="E98:AD98" si="198">D98</f>
        <v>0.25</v>
      </c>
      <c r="F98" s="217">
        <f t="shared" si="198"/>
        <v>0.25</v>
      </c>
      <c r="G98" s="217">
        <f t="shared" si="198"/>
        <v>0.25</v>
      </c>
      <c r="H98" s="217">
        <f t="shared" si="198"/>
        <v>0.25</v>
      </c>
      <c r="I98" s="217">
        <f t="shared" si="198"/>
        <v>0.25</v>
      </c>
      <c r="J98" s="217">
        <f t="shared" si="198"/>
        <v>0.25</v>
      </c>
      <c r="K98" s="217">
        <f t="shared" si="198"/>
        <v>0.25</v>
      </c>
      <c r="L98" s="217">
        <f t="shared" si="198"/>
        <v>0.25</v>
      </c>
      <c r="M98" s="217">
        <f t="shared" si="198"/>
        <v>0.25</v>
      </c>
      <c r="N98" s="217">
        <f t="shared" si="198"/>
        <v>0.25</v>
      </c>
      <c r="O98" s="217">
        <f t="shared" si="198"/>
        <v>0.25</v>
      </c>
      <c r="P98" s="217">
        <f t="shared" si="198"/>
        <v>0.25</v>
      </c>
      <c r="Q98" s="217">
        <f t="shared" si="198"/>
        <v>0.25</v>
      </c>
      <c r="R98" s="217">
        <f t="shared" si="198"/>
        <v>0.25</v>
      </c>
      <c r="S98" s="217">
        <f t="shared" si="198"/>
        <v>0.25</v>
      </c>
      <c r="T98" s="217">
        <f t="shared" si="198"/>
        <v>0.25</v>
      </c>
      <c r="U98" s="217">
        <f t="shared" si="198"/>
        <v>0.25</v>
      </c>
      <c r="V98" s="217">
        <f t="shared" si="198"/>
        <v>0.25</v>
      </c>
      <c r="W98" s="217">
        <f t="shared" si="198"/>
        <v>0.25</v>
      </c>
      <c r="X98" s="217">
        <f t="shared" si="198"/>
        <v>0.25</v>
      </c>
      <c r="Y98" s="217">
        <f t="shared" si="198"/>
        <v>0.25</v>
      </c>
      <c r="Z98" s="217">
        <f t="shared" si="198"/>
        <v>0.25</v>
      </c>
      <c r="AA98" s="217">
        <f t="shared" si="198"/>
        <v>0.25</v>
      </c>
      <c r="AB98" s="217">
        <f t="shared" si="198"/>
        <v>0.25</v>
      </c>
      <c r="AC98" s="217">
        <f t="shared" si="198"/>
        <v>0.25</v>
      </c>
      <c r="AD98" s="217">
        <f t="shared" si="198"/>
        <v>0.25</v>
      </c>
    </row>
    <row r="99" spans="1:30" s="18" customFormat="1" ht="42" customHeight="1">
      <c r="A99" s="23" t="s">
        <v>2</v>
      </c>
      <c r="C99" s="6"/>
      <c r="D99" s="86"/>
      <c r="E99" s="86"/>
      <c r="F99" s="86"/>
      <c r="G99" s="86"/>
      <c r="H99" s="86"/>
      <c r="I99" s="86"/>
      <c r="J99" s="86"/>
      <c r="K99" s="86"/>
      <c r="L99" s="86"/>
      <c r="M99" s="86"/>
      <c r="N99" s="86"/>
      <c r="O99" s="86"/>
      <c r="P99" s="86"/>
      <c r="Q99" s="86"/>
      <c r="R99" s="86"/>
      <c r="S99" s="86"/>
      <c r="T99" s="86"/>
      <c r="U99" s="86"/>
      <c r="V99" s="86"/>
      <c r="W99" s="86"/>
      <c r="X99" s="86"/>
      <c r="Y99" s="86"/>
      <c r="Z99" s="86"/>
      <c r="AA99" s="86"/>
      <c r="AB99" s="86"/>
      <c r="AC99" s="86"/>
      <c r="AD99" s="86"/>
    </row>
    <row r="100" spans="1:30" s="134" customFormat="1" ht="19.5" customHeight="1">
      <c r="A100" s="134" t="s">
        <v>536</v>
      </c>
      <c r="C100" s="227"/>
      <c r="D100" s="227"/>
      <c r="E100" s="227"/>
      <c r="F100" s="227"/>
      <c r="G100" s="227"/>
      <c r="H100" s="227"/>
      <c r="I100" s="227"/>
      <c r="J100" s="227"/>
      <c r="K100" s="227"/>
      <c r="L100" s="227"/>
      <c r="M100" s="227"/>
      <c r="N100" s="227"/>
      <c r="O100" s="227"/>
      <c r="P100" s="227"/>
      <c r="Q100" s="227"/>
      <c r="R100" s="227"/>
      <c r="S100" s="227"/>
      <c r="T100" s="227"/>
      <c r="U100" s="227"/>
      <c r="V100" s="227"/>
      <c r="W100" s="227"/>
      <c r="X100" s="227"/>
    </row>
    <row r="101" spans="1:30" s="13" customFormat="1" ht="13.5" thickBot="1">
      <c r="A101" s="43" t="s">
        <v>403</v>
      </c>
      <c r="B101" s="43" t="s">
        <v>25</v>
      </c>
      <c r="C101" s="147"/>
      <c r="D101" s="147">
        <v>0.08</v>
      </c>
      <c r="E101" s="147">
        <f t="shared" ref="E101:X101" si="199">D101</f>
        <v>0.08</v>
      </c>
      <c r="F101" s="147">
        <f t="shared" si="199"/>
        <v>0.08</v>
      </c>
      <c r="G101" s="147">
        <f t="shared" si="199"/>
        <v>0.08</v>
      </c>
      <c r="H101" s="147">
        <f t="shared" si="199"/>
        <v>0.08</v>
      </c>
      <c r="I101" s="147">
        <f t="shared" si="199"/>
        <v>0.08</v>
      </c>
      <c r="J101" s="147">
        <f t="shared" si="199"/>
        <v>0.08</v>
      </c>
      <c r="K101" s="147">
        <f t="shared" si="199"/>
        <v>0.08</v>
      </c>
      <c r="L101" s="147">
        <f t="shared" si="199"/>
        <v>0.08</v>
      </c>
      <c r="M101" s="147">
        <f t="shared" si="199"/>
        <v>0.08</v>
      </c>
      <c r="N101" s="147">
        <f t="shared" si="199"/>
        <v>0.08</v>
      </c>
      <c r="O101" s="147">
        <f t="shared" si="199"/>
        <v>0.08</v>
      </c>
      <c r="P101" s="147">
        <f t="shared" si="199"/>
        <v>0.08</v>
      </c>
      <c r="Q101" s="147">
        <f t="shared" si="199"/>
        <v>0.08</v>
      </c>
      <c r="R101" s="147">
        <f t="shared" si="199"/>
        <v>0.08</v>
      </c>
      <c r="S101" s="147">
        <f t="shared" si="199"/>
        <v>0.08</v>
      </c>
      <c r="T101" s="147">
        <f t="shared" si="199"/>
        <v>0.08</v>
      </c>
      <c r="U101" s="147">
        <f t="shared" si="199"/>
        <v>0.08</v>
      </c>
      <c r="V101" s="147">
        <f t="shared" si="199"/>
        <v>0.08</v>
      </c>
      <c r="W101" s="147">
        <f t="shared" si="199"/>
        <v>0.08</v>
      </c>
      <c r="X101" s="147">
        <f t="shared" si="199"/>
        <v>0.08</v>
      </c>
      <c r="Y101" s="147"/>
      <c r="Z101" s="147"/>
      <c r="AA101" s="147"/>
      <c r="AB101" s="147"/>
      <c r="AC101" s="147"/>
      <c r="AD101" s="147"/>
    </row>
    <row r="102" spans="1:30" s="13" customFormat="1" ht="13.5" thickBot="1">
      <c r="A102" s="13" t="s">
        <v>17</v>
      </c>
      <c r="B102" s="13" t="s">
        <v>224</v>
      </c>
      <c r="C102" s="38"/>
      <c r="D102" s="149">
        <f>1/(1+D101)^0.5</f>
        <v>0.96225044864937614</v>
      </c>
      <c r="E102" s="150">
        <f t="shared" ref="E102:X102" si="200">D102/(1+E101)</f>
        <v>0.89097263763831114</v>
      </c>
      <c r="F102" s="150">
        <f t="shared" si="200"/>
        <v>0.82497466447991763</v>
      </c>
      <c r="G102" s="150">
        <f t="shared" si="200"/>
        <v>0.76386543007399776</v>
      </c>
      <c r="H102" s="150">
        <f t="shared" si="200"/>
        <v>0.70728280562407198</v>
      </c>
      <c r="I102" s="150">
        <f t="shared" si="200"/>
        <v>0.65489148668895547</v>
      </c>
      <c r="J102" s="150">
        <f t="shared" si="200"/>
        <v>0.60638100619347723</v>
      </c>
      <c r="K102" s="150">
        <f t="shared" si="200"/>
        <v>0.56146389462359003</v>
      </c>
      <c r="L102" s="150">
        <f t="shared" si="200"/>
        <v>0.51987397650332412</v>
      </c>
      <c r="M102" s="150">
        <f t="shared" si="200"/>
        <v>0.48136479305863339</v>
      </c>
      <c r="N102" s="150">
        <f t="shared" si="200"/>
        <v>0.4457081417209568</v>
      </c>
      <c r="O102" s="150">
        <f t="shared" si="200"/>
        <v>0.41269272381570071</v>
      </c>
      <c r="P102" s="150">
        <f t="shared" si="200"/>
        <v>0.38212289242194508</v>
      </c>
      <c r="Q102" s="150">
        <f t="shared" si="200"/>
        <v>0.35381749298328247</v>
      </c>
      <c r="R102" s="150">
        <f t="shared" si="200"/>
        <v>0.32760878979933561</v>
      </c>
      <c r="S102" s="150">
        <f t="shared" si="200"/>
        <v>0.30334147203642187</v>
      </c>
      <c r="T102" s="150">
        <f t="shared" si="200"/>
        <v>0.28087173336705729</v>
      </c>
      <c r="U102" s="150">
        <f t="shared" si="200"/>
        <v>0.26006641978431227</v>
      </c>
      <c r="V102" s="150">
        <f t="shared" si="200"/>
        <v>0.24080224054102986</v>
      </c>
      <c r="W102" s="150">
        <f t="shared" si="200"/>
        <v>0.2229650375379906</v>
      </c>
      <c r="X102" s="150">
        <f t="shared" si="200"/>
        <v>0.20644910883147277</v>
      </c>
    </row>
  </sheetData>
  <pageMargins left="0.70866141732283472" right="0.70866141732283472" top="0.74803149606299213" bottom="0.74803149606299213" header="0.31496062992125984" footer="0.31496062992125984"/>
  <pageSetup paperSize="9" scale="1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D772"/>
  <sheetViews>
    <sheetView zoomScaleNormal="100" workbookViewId="0">
      <pane xSplit="24380" topLeftCell="AC1"/>
      <selection activeCell="B3" sqref="B3"/>
      <selection pane="topRight" activeCell="AD646" sqref="AD646"/>
    </sheetView>
  </sheetViews>
  <sheetFormatPr defaultColWidth="8.90625" defaultRowHeight="13" outlineLevelRow="1"/>
  <cols>
    <col min="1" max="1" width="41.54296875" style="13" customWidth="1"/>
    <col min="2" max="2" width="18.36328125" style="13" customWidth="1"/>
    <col min="3" max="3" width="22.1796875" style="15" customWidth="1"/>
    <col min="4" max="10" width="12.54296875" style="38" customWidth="1"/>
    <col min="11" max="11" width="12.6328125" style="38" customWidth="1"/>
    <col min="12" max="12" width="12.54296875" style="38" customWidth="1"/>
    <col min="13" max="13" width="7.36328125" style="38" customWidth="1"/>
    <col min="14" max="30" width="12.54296875" style="38" customWidth="1"/>
    <col min="31" max="16384" width="8.90625" style="13"/>
  </cols>
  <sheetData>
    <row r="1" spans="1:13" s="195" customFormat="1" ht="30.75" customHeight="1">
      <c r="A1" s="194" t="str">
        <f>'Intro &amp; log of testing'!A1</f>
        <v>Worked Example - Long &amp; Detailed Business Evaluation - www.economicevaluation.com.au</v>
      </c>
      <c r="B1" s="194"/>
      <c r="C1" s="194"/>
      <c r="D1" s="194"/>
    </row>
    <row r="2" spans="1:13" s="100" customFormat="1" ht="21" customHeight="1">
      <c r="A2" s="196" t="s">
        <v>514</v>
      </c>
    </row>
    <row r="3" spans="1:13" s="122" customFormat="1" ht="37" customHeight="1">
      <c r="A3" s="228" t="s">
        <v>225</v>
      </c>
    </row>
    <row r="4" spans="1:13" s="21" customFormat="1" ht="48" customHeight="1">
      <c r="A4" s="21" t="s">
        <v>542</v>
      </c>
    </row>
    <row r="5" spans="1:13" s="100" customFormat="1" ht="15.5">
      <c r="A5" s="1" t="s">
        <v>7</v>
      </c>
      <c r="B5" s="117"/>
      <c r="C5" s="40"/>
      <c r="D5" s="85"/>
      <c r="E5" s="85"/>
      <c r="F5" s="85"/>
      <c r="G5" s="85"/>
      <c r="H5" s="85"/>
      <c r="I5" s="85"/>
      <c r="J5" s="85"/>
      <c r="K5" s="85"/>
      <c r="L5" s="85"/>
      <c r="M5" s="85"/>
    </row>
    <row r="6" spans="1:13" s="8" customFormat="1" ht="15.5">
      <c r="A6" s="134" t="str">
        <f>A139</f>
        <v xml:space="preserve">ore - aggregate  </v>
      </c>
      <c r="B6" s="134" t="str">
        <f t="shared" ref="B6:C6" si="0">B139</f>
        <v>millions dry tonnes</v>
      </c>
      <c r="C6" s="227">
        <f t="shared" si="0"/>
        <v>118</v>
      </c>
      <c r="D6" s="3"/>
      <c r="E6" s="3"/>
      <c r="F6" s="3"/>
      <c r="G6" s="3"/>
      <c r="H6" s="3"/>
      <c r="I6" s="3"/>
      <c r="J6" s="3"/>
      <c r="K6" s="3"/>
      <c r="L6" s="3"/>
      <c r="M6" s="3"/>
    </row>
    <row r="7" spans="1:13" s="100" customFormat="1" ht="15.5">
      <c r="A7" s="239" t="str">
        <f>A156</f>
        <v xml:space="preserve">feed grade - copper </v>
      </c>
      <c r="B7" s="239" t="str">
        <f t="shared" ref="B7:C7" si="1">B156</f>
        <v>% Cu</v>
      </c>
      <c r="C7" s="323">
        <f t="shared" si="1"/>
        <v>9.1932203389830519E-3</v>
      </c>
      <c r="D7" s="85"/>
      <c r="E7" s="85"/>
      <c r="F7" s="85"/>
      <c r="G7" s="85"/>
      <c r="H7" s="85"/>
      <c r="I7" s="85"/>
      <c r="J7" s="85"/>
      <c r="K7" s="85"/>
      <c r="L7" s="85"/>
      <c r="M7" s="85"/>
    </row>
    <row r="8" spans="1:13" s="100" customFormat="1" ht="15.5">
      <c r="A8" s="117" t="str">
        <f>A162</f>
        <v>Recovery - copper</v>
      </c>
      <c r="B8" s="117" t="str">
        <f t="shared" ref="B8:C8" si="2">B162</f>
        <v>% Cu</v>
      </c>
      <c r="C8" s="229">
        <f t="shared" si="2"/>
        <v>0.88000000000000034</v>
      </c>
      <c r="D8" s="85"/>
      <c r="E8" s="85"/>
      <c r="F8" s="85"/>
      <c r="G8" s="85"/>
      <c r="H8" s="85"/>
      <c r="I8" s="85"/>
      <c r="J8" s="85"/>
      <c r="K8" s="85"/>
      <c r="L8" s="85"/>
      <c r="M8" s="85"/>
    </row>
    <row r="9" spans="1:13" s="100" customFormat="1" ht="15.5">
      <c r="A9" s="117" t="str">
        <f>A170</f>
        <v>copper conc - contained copper - mid case</v>
      </c>
      <c r="B9" s="117" t="str">
        <f t="shared" ref="B9:C9" si="3">B170</f>
        <v>000 tonnes Cu</v>
      </c>
      <c r="C9" s="125">
        <f t="shared" si="3"/>
        <v>954.6239999999998</v>
      </c>
      <c r="D9" s="85"/>
      <c r="E9" s="85"/>
      <c r="F9" s="85"/>
      <c r="G9" s="85"/>
      <c r="H9" s="85"/>
      <c r="I9" s="85"/>
      <c r="J9" s="85"/>
      <c r="K9" s="85"/>
      <c r="L9" s="85"/>
      <c r="M9" s="85"/>
    </row>
    <row r="10" spans="1:13" s="100" customFormat="1" ht="15.5">
      <c r="A10" s="1" t="s">
        <v>537</v>
      </c>
      <c r="B10" s="117"/>
      <c r="C10" s="40"/>
      <c r="D10" s="85"/>
      <c r="E10" s="85"/>
      <c r="F10" s="85"/>
      <c r="G10" s="85"/>
      <c r="H10" s="85"/>
      <c r="I10" s="85"/>
      <c r="J10" s="85"/>
      <c r="K10" s="85"/>
      <c r="L10" s="85"/>
      <c r="M10" s="85"/>
    </row>
    <row r="11" spans="1:13" s="8" customFormat="1" ht="15.5">
      <c r="A11" s="117" t="str">
        <f>A346</f>
        <v>Initial capex - mid case</v>
      </c>
      <c r="B11" s="13" t="str">
        <f t="shared" ref="B11:C11" si="4">B346</f>
        <v>A$ million Real</v>
      </c>
      <c r="C11" s="40">
        <f t="shared" si="4"/>
        <v>1227</v>
      </c>
      <c r="D11" s="3"/>
      <c r="E11" s="3"/>
      <c r="F11" s="3"/>
      <c r="G11" s="3"/>
      <c r="H11" s="3"/>
      <c r="I11" s="3"/>
      <c r="J11" s="3"/>
      <c r="K11" s="3"/>
      <c r="L11" s="3"/>
      <c r="M11" s="3"/>
    </row>
    <row r="12" spans="1:13" s="100" customFormat="1" ht="15.5">
      <c r="A12" s="117" t="str">
        <f>A655</f>
        <v>Opex plus Royalty less Credits - mid case</v>
      </c>
      <c r="B12" s="117" t="str">
        <f t="shared" ref="B12:C12" si="5">B655</f>
        <v>US$/lb copper</v>
      </c>
      <c r="C12" s="240">
        <f t="shared" si="5"/>
        <v>2.2059125929741081</v>
      </c>
      <c r="D12" s="85"/>
      <c r="E12" s="85"/>
      <c r="F12" s="85"/>
      <c r="G12" s="85"/>
      <c r="H12" s="85"/>
      <c r="I12" s="85"/>
      <c r="J12" s="85"/>
      <c r="K12" s="85"/>
      <c r="L12" s="85"/>
      <c r="M12" s="85"/>
    </row>
    <row r="13" spans="1:13" s="100" customFormat="1" ht="15.5">
      <c r="A13" s="1" t="s">
        <v>538</v>
      </c>
      <c r="B13" s="117"/>
      <c r="C13" s="40"/>
      <c r="D13" s="85"/>
      <c r="E13" s="85"/>
      <c r="F13" s="85"/>
      <c r="G13" s="85"/>
      <c r="H13" s="85"/>
      <c r="I13" s="85"/>
      <c r="J13" s="85"/>
      <c r="K13" s="85"/>
      <c r="L13" s="85"/>
      <c r="M13" s="85"/>
    </row>
    <row r="14" spans="1:13" s="32" customFormat="1">
      <c r="A14" s="230" t="str">
        <f>A744</f>
        <v>Cashstream 1: Revenue - Mid Case</v>
      </c>
      <c r="B14" s="231" t="str">
        <f t="shared" ref="B14:C14" si="6">B744</f>
        <v>US$ millions Real</v>
      </c>
      <c r="C14" s="40">
        <f t="shared" si="6"/>
        <v>10182.679530681717</v>
      </c>
      <c r="D14" s="30"/>
      <c r="E14" s="30"/>
      <c r="F14" s="30"/>
      <c r="G14" s="30"/>
      <c r="H14" s="30"/>
      <c r="I14" s="30"/>
      <c r="J14" s="30"/>
      <c r="K14" s="30"/>
      <c r="L14" s="30"/>
      <c r="M14" s="30"/>
    </row>
    <row r="15" spans="1:13" s="32" customFormat="1">
      <c r="A15" s="230" t="str">
        <f t="shared" ref="A15:C15" si="7">A745</f>
        <v>Cashstream 2: Capital Costs - Mid Case</v>
      </c>
      <c r="B15" s="231" t="str">
        <f t="shared" si="7"/>
        <v>US$ millions Real</v>
      </c>
      <c r="C15" s="40">
        <f t="shared" si="7"/>
        <v>1315.0800000000006</v>
      </c>
      <c r="D15" s="30"/>
      <c r="E15" s="30"/>
      <c r="F15" s="30"/>
      <c r="G15" s="30"/>
      <c r="H15" s="30"/>
      <c r="I15" s="30"/>
      <c r="J15" s="30"/>
      <c r="K15" s="30"/>
      <c r="L15" s="30"/>
      <c r="M15" s="30"/>
    </row>
    <row r="16" spans="1:13" s="32" customFormat="1">
      <c r="A16" s="230" t="str">
        <f t="shared" ref="A16:C16" si="8">A746</f>
        <v>Cashstream 3: Operating Costs - Mid Case</v>
      </c>
      <c r="B16" s="231" t="str">
        <f t="shared" si="8"/>
        <v>US$ millions Real</v>
      </c>
      <c r="C16" s="40">
        <f t="shared" si="8"/>
        <v>6290.7891427734094</v>
      </c>
      <c r="D16" s="30"/>
      <c r="E16" s="30"/>
      <c r="F16" s="30"/>
      <c r="G16" s="30"/>
      <c r="H16" s="30"/>
      <c r="I16" s="30"/>
      <c r="J16" s="30"/>
      <c r="K16" s="30"/>
      <c r="L16" s="30"/>
      <c r="M16" s="30"/>
    </row>
    <row r="17" spans="1:30" s="32" customFormat="1">
      <c r="A17" s="230" t="str">
        <f t="shared" ref="A17:C17" si="9">A747</f>
        <v>Cashstream 4: Taxes - Mid Case</v>
      </c>
      <c r="B17" s="231" t="str">
        <f t="shared" si="9"/>
        <v>US$ millions Real</v>
      </c>
      <c r="C17" s="40">
        <f t="shared" si="9"/>
        <v>1260.8277457468032</v>
      </c>
      <c r="D17" s="30"/>
      <c r="E17" s="30"/>
      <c r="F17" s="30"/>
      <c r="G17" s="30"/>
      <c r="H17" s="30"/>
      <c r="I17" s="30"/>
      <c r="J17" s="30"/>
      <c r="K17" s="30"/>
      <c r="L17" s="30"/>
      <c r="M17" s="30"/>
    </row>
    <row r="18" spans="1:30" s="32" customFormat="1">
      <c r="A18" s="241" t="str">
        <f t="shared" ref="A18:C18" si="10">A748</f>
        <v>Cash Generation - Mid Case</v>
      </c>
      <c r="B18" s="231" t="str">
        <f t="shared" si="10"/>
        <v>US$ millions Real</v>
      </c>
      <c r="C18" s="138">
        <f t="shared" si="10"/>
        <v>1315.9826421615026</v>
      </c>
      <c r="D18" s="30"/>
      <c r="E18" s="30"/>
      <c r="F18" s="30"/>
      <c r="G18" s="30"/>
      <c r="H18" s="30"/>
      <c r="I18" s="30"/>
      <c r="J18" s="30"/>
      <c r="K18" s="30"/>
      <c r="L18" s="30"/>
      <c r="M18" s="30"/>
    </row>
    <row r="19" spans="1:30" s="100" customFormat="1" ht="15.5">
      <c r="A19" s="1" t="s">
        <v>540</v>
      </c>
      <c r="B19" s="113"/>
      <c r="C19" s="232"/>
      <c r="D19" s="85"/>
      <c r="E19" s="85"/>
      <c r="F19" s="85"/>
      <c r="G19" s="85"/>
      <c r="H19" s="85"/>
      <c r="I19" s="85"/>
      <c r="J19" s="85"/>
      <c r="K19" s="85"/>
      <c r="L19" s="85"/>
      <c r="M19" s="85"/>
    </row>
    <row r="20" spans="1:30" s="236" customFormat="1" ht="18.5">
      <c r="A20" s="124" t="str">
        <f>A759</f>
        <v>NPV - Mid Case</v>
      </c>
      <c r="B20" s="231" t="str">
        <f>B759</f>
        <v>US$ million</v>
      </c>
      <c r="C20" s="27">
        <f>C759</f>
        <v>360.43643029504676</v>
      </c>
      <c r="D20" s="235"/>
      <c r="E20" s="235"/>
      <c r="F20" s="235"/>
      <c r="G20" s="235"/>
      <c r="H20" s="235"/>
      <c r="I20" s="235"/>
      <c r="J20" s="235"/>
      <c r="K20" s="235"/>
      <c r="L20" s="235"/>
      <c r="M20" s="235"/>
    </row>
    <row r="21" spans="1:30" s="100" customFormat="1" ht="18.5">
      <c r="A21" s="163" t="str">
        <f>A752</f>
        <v>IRR - Mid Case</v>
      </c>
      <c r="B21" s="231" t="str">
        <f>B752</f>
        <v>% Real</v>
      </c>
      <c r="C21" s="358">
        <f>C752</f>
        <v>0.14966156582939294</v>
      </c>
      <c r="D21" s="85"/>
      <c r="E21" s="85"/>
      <c r="F21" s="85"/>
      <c r="G21" s="85"/>
      <c r="H21" s="85"/>
      <c r="I21" s="85"/>
      <c r="J21" s="85"/>
      <c r="K21" s="85"/>
      <c r="L21" s="85"/>
      <c r="M21" s="85"/>
    </row>
    <row r="22" spans="1:30" s="236" customFormat="1" ht="15.5">
      <c r="A22" s="233"/>
      <c r="B22" s="237"/>
      <c r="C22" s="234"/>
      <c r="D22" s="235"/>
      <c r="E22" s="235"/>
      <c r="F22" s="85"/>
      <c r="G22" s="235"/>
      <c r="H22" s="235"/>
      <c r="I22" s="235"/>
      <c r="J22" s="235"/>
      <c r="K22" s="235"/>
      <c r="L22" s="235"/>
      <c r="M22" s="235"/>
    </row>
    <row r="23" spans="1:30" s="100" customFormat="1" ht="32.5" customHeight="1">
      <c r="A23" s="21" t="s">
        <v>539</v>
      </c>
      <c r="C23" s="6"/>
      <c r="D23" s="85"/>
      <c r="E23" s="85"/>
      <c r="G23" s="85"/>
      <c r="H23" s="85"/>
      <c r="I23" s="85"/>
      <c r="J23" s="85"/>
      <c r="K23" s="85"/>
      <c r="L23" s="85"/>
      <c r="M23" s="85"/>
    </row>
    <row r="24" spans="1:30" s="32" customFormat="1">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row>
    <row r="25" spans="1:30" s="35" customFormat="1">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row>
    <row r="26" spans="1:30" s="35" customFormat="1">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row>
    <row r="27" spans="1:30" s="35" customFormat="1" ht="15.5">
      <c r="A27" s="127"/>
      <c r="B27" s="85"/>
      <c r="C27" s="132"/>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row>
    <row r="28" spans="1:30" s="35" customFormat="1" ht="15.5">
      <c r="A28" s="127"/>
      <c r="B28" s="85"/>
      <c r="C28" s="132"/>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row>
    <row r="29" spans="1:30">
      <c r="A29" s="36"/>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row>
    <row r="30" spans="1:30" ht="17.25" customHeight="1">
      <c r="A30" s="14"/>
      <c r="C30" s="37"/>
    </row>
    <row r="31" spans="1:30" ht="17.25" customHeight="1">
      <c r="A31" s="14"/>
      <c r="C31" s="37"/>
    </row>
    <row r="32" spans="1:30" ht="17.25" customHeight="1">
      <c r="A32" s="14"/>
      <c r="C32" s="37"/>
    </row>
    <row r="33" spans="1:3" ht="17.25" customHeight="1">
      <c r="A33" s="14"/>
      <c r="C33" s="37"/>
    </row>
    <row r="34" spans="1:3" ht="17.25" customHeight="1">
      <c r="A34" s="14"/>
      <c r="C34" s="37"/>
    </row>
    <row r="35" spans="1:3" ht="17.25" customHeight="1">
      <c r="A35" s="14"/>
      <c r="C35" s="37"/>
    </row>
    <row r="36" spans="1:3" ht="17.25" customHeight="1">
      <c r="A36" s="14"/>
      <c r="C36" s="37"/>
    </row>
    <row r="37" spans="1:3" ht="17.25" customHeight="1">
      <c r="A37" s="14"/>
      <c r="C37" s="37"/>
    </row>
    <row r="38" spans="1:3" ht="17.25" customHeight="1">
      <c r="A38" s="14"/>
      <c r="C38" s="37"/>
    </row>
    <row r="39" spans="1:3" ht="17.25" customHeight="1">
      <c r="A39" s="14"/>
      <c r="C39" s="37"/>
    </row>
    <row r="40" spans="1:3" ht="17.25" customHeight="1">
      <c r="A40" s="14"/>
      <c r="C40" s="37"/>
    </row>
    <row r="41" spans="1:3" ht="17.25" customHeight="1">
      <c r="A41" s="14"/>
      <c r="C41" s="37"/>
    </row>
    <row r="42" spans="1:3" ht="17.25" customHeight="1">
      <c r="A42" s="14"/>
      <c r="C42" s="37"/>
    </row>
    <row r="43" spans="1:3" ht="17.25" customHeight="1">
      <c r="A43" s="14"/>
      <c r="C43" s="37"/>
    </row>
    <row r="44" spans="1:3" ht="17.25" customHeight="1">
      <c r="A44" s="14"/>
      <c r="C44" s="37"/>
    </row>
    <row r="45" spans="1:3" ht="17.25" customHeight="1">
      <c r="A45" s="14"/>
      <c r="C45" s="37"/>
    </row>
    <row r="46" spans="1:3" ht="17.25" customHeight="1">
      <c r="A46" s="14"/>
      <c r="C46" s="37"/>
    </row>
    <row r="47" spans="1:3" ht="17.25" customHeight="1">
      <c r="A47" s="14"/>
      <c r="C47" s="37"/>
    </row>
    <row r="48" spans="1:3" ht="17.25" customHeight="1">
      <c r="A48" s="14"/>
      <c r="C48" s="37"/>
    </row>
    <row r="49" spans="1:30" s="35" customFormat="1" ht="15.5">
      <c r="A49" s="127"/>
      <c r="B49" s="85"/>
      <c r="C49" s="132"/>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row>
    <row r="50" spans="1:30" s="35" customFormat="1" ht="15.5">
      <c r="A50" s="127"/>
      <c r="B50" s="85"/>
      <c r="C50" s="132"/>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row>
    <row r="51" spans="1:30" s="35" customFormat="1" ht="15.5">
      <c r="A51" s="127"/>
      <c r="B51" s="85"/>
      <c r="C51" s="132"/>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row>
    <row r="52" spans="1:30" s="35" customFormat="1" ht="15.5">
      <c r="A52" s="127"/>
      <c r="B52" s="85"/>
      <c r="C52" s="132"/>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row>
    <row r="53" spans="1:30" ht="17.25" customHeight="1">
      <c r="A53" s="14"/>
      <c r="C53" s="37"/>
    </row>
    <row r="54" spans="1:30" ht="17.25" customHeight="1">
      <c r="A54" s="14"/>
      <c r="C54" s="37"/>
    </row>
    <row r="55" spans="1:30" ht="17.25" customHeight="1">
      <c r="A55" s="14"/>
      <c r="C55" s="37"/>
    </row>
    <row r="56" spans="1:30" ht="17.25" customHeight="1">
      <c r="A56" s="14"/>
      <c r="C56" s="37"/>
    </row>
    <row r="57" spans="1:30" ht="17.25" customHeight="1">
      <c r="A57" s="14"/>
      <c r="C57" s="37"/>
    </row>
    <row r="58" spans="1:30" ht="17.25" customHeight="1">
      <c r="A58" s="14"/>
      <c r="C58" s="37"/>
    </row>
    <row r="59" spans="1:30" ht="17.25" customHeight="1">
      <c r="A59" s="14"/>
      <c r="C59" s="37"/>
    </row>
    <row r="60" spans="1:30" ht="17.25" customHeight="1">
      <c r="A60" s="14"/>
      <c r="C60" s="37"/>
    </row>
    <row r="61" spans="1:30" ht="17.25" customHeight="1">
      <c r="A61" s="14"/>
      <c r="C61" s="37"/>
      <c r="G61" s="39"/>
    </row>
    <row r="62" spans="1:30" ht="17.25" customHeight="1">
      <c r="A62" s="14"/>
      <c r="C62" s="37"/>
    </row>
    <row r="63" spans="1:30" ht="17.25" customHeight="1">
      <c r="A63" s="14"/>
      <c r="C63" s="37"/>
    </row>
    <row r="64" spans="1:30" ht="17.25" customHeight="1">
      <c r="A64" s="14"/>
      <c r="C64" s="37"/>
    </row>
    <row r="65" spans="1:3" ht="17.25" customHeight="1">
      <c r="A65" s="14"/>
      <c r="C65" s="37"/>
    </row>
    <row r="66" spans="1:3" ht="17.25" customHeight="1">
      <c r="A66" s="14"/>
      <c r="C66" s="37"/>
    </row>
    <row r="67" spans="1:3" ht="17.25" customHeight="1">
      <c r="A67" s="14"/>
      <c r="C67" s="37"/>
    </row>
    <row r="68" spans="1:3" ht="17.25" customHeight="1">
      <c r="A68" s="14"/>
      <c r="C68" s="37"/>
    </row>
    <row r="69" spans="1:3" ht="17.25" customHeight="1">
      <c r="A69" s="14"/>
      <c r="C69" s="37"/>
    </row>
    <row r="70" spans="1:3" ht="17.25" customHeight="1">
      <c r="A70" s="14"/>
      <c r="C70" s="37"/>
    </row>
    <row r="71" spans="1:3" ht="17.25" customHeight="1">
      <c r="A71" s="14"/>
      <c r="C71" s="37"/>
    </row>
    <row r="72" spans="1:3" ht="17.25" customHeight="1">
      <c r="A72" s="14"/>
      <c r="C72" s="37"/>
    </row>
    <row r="73" spans="1:3" ht="17.25" customHeight="1">
      <c r="A73" s="14"/>
      <c r="C73" s="37"/>
    </row>
    <row r="74" spans="1:3" ht="17.25" customHeight="1">
      <c r="A74" s="14"/>
      <c r="C74" s="37"/>
    </row>
    <row r="75" spans="1:3" ht="17.25" customHeight="1">
      <c r="A75" s="14"/>
      <c r="C75" s="37"/>
    </row>
    <row r="76" spans="1:3" ht="17.25" customHeight="1">
      <c r="A76" s="14"/>
      <c r="C76" s="37"/>
    </row>
    <row r="77" spans="1:3" ht="17.25" customHeight="1">
      <c r="A77" s="14"/>
      <c r="C77" s="37"/>
    </row>
    <row r="78" spans="1:3" ht="17.25" customHeight="1">
      <c r="A78" s="14"/>
      <c r="C78" s="37"/>
    </row>
    <row r="79" spans="1:3" ht="17.25" customHeight="1">
      <c r="A79" s="14"/>
      <c r="C79" s="37"/>
    </row>
    <row r="80" spans="1:3" ht="17.25" customHeight="1">
      <c r="A80" s="14"/>
      <c r="C80" s="37"/>
    </row>
    <row r="81" spans="1:30" ht="17.25" customHeight="1">
      <c r="A81" s="14"/>
      <c r="C81" s="37"/>
    </row>
    <row r="82" spans="1:30" ht="17.25" customHeight="1">
      <c r="A82" s="14"/>
      <c r="C82" s="37"/>
    </row>
    <row r="83" spans="1:30" ht="17.25" customHeight="1">
      <c r="A83" s="14"/>
      <c r="C83" s="37"/>
    </row>
    <row r="84" spans="1:30" ht="17.25" customHeight="1">
      <c r="A84" s="14"/>
      <c r="C84" s="37"/>
    </row>
    <row r="85" spans="1:30" ht="17.25" customHeight="1">
      <c r="A85" s="14"/>
      <c r="C85" s="37"/>
    </row>
    <row r="86" spans="1:30" ht="17.25" customHeight="1">
      <c r="A86" s="14"/>
      <c r="C86" s="37"/>
    </row>
    <row r="87" spans="1:30" ht="17.25" customHeight="1">
      <c r="A87" s="14"/>
      <c r="C87" s="37"/>
    </row>
    <row r="88" spans="1:30" ht="17.25" customHeight="1">
      <c r="A88" s="14"/>
      <c r="C88" s="37"/>
    </row>
    <row r="89" spans="1:30" ht="17.25" customHeight="1">
      <c r="A89" s="14"/>
      <c r="C89" s="37"/>
    </row>
    <row r="90" spans="1:30" ht="17.25" customHeight="1">
      <c r="A90" s="14"/>
      <c r="C90" s="37"/>
    </row>
    <row r="91" spans="1:30" ht="17.25" customHeight="1">
      <c r="A91" s="14"/>
      <c r="C91" s="37"/>
    </row>
    <row r="92" spans="1:30" ht="17.25" customHeight="1">
      <c r="A92" s="14"/>
      <c r="C92" s="37"/>
    </row>
    <row r="93" spans="1:30" ht="17.25" customHeight="1">
      <c r="A93" s="14"/>
      <c r="C93" s="37"/>
    </row>
    <row r="94" spans="1:30" s="5" customFormat="1" ht="18.5">
      <c r="A94" s="319" t="str">
        <f>'Expected NPV &amp; Common Data'!A$36</f>
        <v>Calendar Year --&gt;</v>
      </c>
      <c r="B94" s="243" t="str">
        <f>'Expected NPV &amp; Common Data'!B$36</f>
        <v>units</v>
      </c>
      <c r="C94" s="320" t="str">
        <f>'Expected NPV &amp; Common Data'!C$36</f>
        <v>Total</v>
      </c>
      <c r="D94" s="321">
        <f>'Expected NPV &amp; Common Data'!D$36</f>
        <v>2027</v>
      </c>
      <c r="E94" s="321">
        <f>'Expected NPV &amp; Common Data'!E$36</f>
        <v>2028</v>
      </c>
      <c r="F94" s="321">
        <f>'Expected NPV &amp; Common Data'!F$36</f>
        <v>2029</v>
      </c>
      <c r="G94" s="321">
        <f>'Expected NPV &amp; Common Data'!G$36</f>
        <v>2030</v>
      </c>
      <c r="H94" s="321">
        <f>'Expected NPV &amp; Common Data'!H$36</f>
        <v>2031</v>
      </c>
      <c r="I94" s="321">
        <f>'Expected NPV &amp; Common Data'!I$36</f>
        <v>2032</v>
      </c>
      <c r="J94" s="321">
        <f>'Expected NPV &amp; Common Data'!J$36</f>
        <v>2033</v>
      </c>
      <c r="K94" s="321">
        <f>'Expected NPV &amp; Common Data'!K$36</f>
        <v>2034</v>
      </c>
      <c r="L94" s="321">
        <f>'Expected NPV &amp; Common Data'!L$36</f>
        <v>2035</v>
      </c>
      <c r="M94" s="321">
        <f>'Expected NPV &amp; Common Data'!M$36</f>
        <v>2036</v>
      </c>
      <c r="N94" s="321">
        <f>'Expected NPV &amp; Common Data'!N$36</f>
        <v>2037</v>
      </c>
      <c r="O94" s="321">
        <f>'Expected NPV &amp; Common Data'!O$36</f>
        <v>2038</v>
      </c>
      <c r="P94" s="321">
        <f>'Expected NPV &amp; Common Data'!P$36</f>
        <v>2039</v>
      </c>
      <c r="Q94" s="321">
        <f>'Expected NPV &amp; Common Data'!Q$36</f>
        <v>2040</v>
      </c>
      <c r="R94" s="321">
        <f>'Expected NPV &amp; Common Data'!R$36</f>
        <v>2041</v>
      </c>
      <c r="S94" s="321">
        <f>'Expected NPV &amp; Common Data'!S$36</f>
        <v>2042</v>
      </c>
      <c r="T94" s="321">
        <f>'Expected NPV &amp; Common Data'!T$36</f>
        <v>2043</v>
      </c>
      <c r="U94" s="321">
        <f>'Expected NPV &amp; Common Data'!U$36</f>
        <v>2044</v>
      </c>
      <c r="V94" s="321">
        <f>'Expected NPV &amp; Common Data'!V$36</f>
        <v>2045</v>
      </c>
      <c r="W94" s="321">
        <f>'Expected NPV &amp; Common Data'!W$36</f>
        <v>2046</v>
      </c>
      <c r="X94" s="321">
        <f>'Expected NPV &amp; Common Data'!X$36</f>
        <v>2047</v>
      </c>
      <c r="Y94" s="321">
        <f>'Expected NPV &amp; Common Data'!Y$36</f>
        <v>2048</v>
      </c>
      <c r="Z94" s="321">
        <f>'Expected NPV &amp; Common Data'!Z$36</f>
        <v>2049</v>
      </c>
      <c r="AA94" s="321">
        <f>'Expected NPV &amp; Common Data'!AA$36</f>
        <v>2050</v>
      </c>
      <c r="AB94" s="321">
        <f>'Expected NPV &amp; Common Data'!AB$36</f>
        <v>2051</v>
      </c>
      <c r="AC94" s="321">
        <f>'Expected NPV &amp; Common Data'!AC$36</f>
        <v>2052</v>
      </c>
      <c r="AD94" s="321">
        <f>'Expected NPV &amp; Common Data'!AD$36</f>
        <v>2053</v>
      </c>
    </row>
    <row r="95" spans="1:30" s="8" customFormat="1" ht="15.5">
      <c r="A95" s="246" t="str">
        <f>'Expected NPV &amp; Common Data'!A37</f>
        <v>Production Year from Start up</v>
      </c>
      <c r="B95" s="245"/>
      <c r="C95" s="245"/>
      <c r="D95" s="245">
        <f>'Expected NPV &amp; Common Data'!D37</f>
        <v>0</v>
      </c>
      <c r="E95" s="245">
        <f>'Expected NPV &amp; Common Data'!E37</f>
        <v>0</v>
      </c>
      <c r="F95" s="245">
        <f>'Expected NPV &amp; Common Data'!F37</f>
        <v>1</v>
      </c>
      <c r="G95" s="245">
        <f>'Expected NPV &amp; Common Data'!G37</f>
        <v>2</v>
      </c>
      <c r="H95" s="245">
        <f>'Expected NPV &amp; Common Data'!H37</f>
        <v>3</v>
      </c>
      <c r="I95" s="245">
        <f>'Expected NPV &amp; Common Data'!I37</f>
        <v>4</v>
      </c>
      <c r="J95" s="245">
        <f>'Expected NPV &amp; Common Data'!J37</f>
        <v>5</v>
      </c>
      <c r="K95" s="245">
        <f>'Expected NPV &amp; Common Data'!K37</f>
        <v>6</v>
      </c>
      <c r="L95" s="245">
        <f>'Expected NPV &amp; Common Data'!L37</f>
        <v>7</v>
      </c>
      <c r="M95" s="245">
        <f>'Expected NPV &amp; Common Data'!M37</f>
        <v>8</v>
      </c>
      <c r="N95" s="245">
        <f>'Expected NPV &amp; Common Data'!N37</f>
        <v>9</v>
      </c>
      <c r="O95" s="245">
        <f>'Expected NPV &amp; Common Data'!O37</f>
        <v>10</v>
      </c>
      <c r="P95" s="245">
        <f>'Expected NPV &amp; Common Data'!P37</f>
        <v>11</v>
      </c>
      <c r="Q95" s="245">
        <f>'Expected NPV &amp; Common Data'!Q37</f>
        <v>12</v>
      </c>
      <c r="R95" s="245">
        <f>'Expected NPV &amp; Common Data'!R37</f>
        <v>13</v>
      </c>
      <c r="S95" s="245">
        <f>'Expected NPV &amp; Common Data'!S37</f>
        <v>14</v>
      </c>
      <c r="T95" s="245">
        <f>'Expected NPV &amp; Common Data'!T37</f>
        <v>15</v>
      </c>
      <c r="U95" s="245">
        <f>'Expected NPV &amp; Common Data'!U37</f>
        <v>16</v>
      </c>
      <c r="V95" s="245">
        <f>'Expected NPV &amp; Common Data'!V37</f>
        <v>17</v>
      </c>
      <c r="W95" s="245">
        <f>'Expected NPV &amp; Common Data'!W37</f>
        <v>18</v>
      </c>
      <c r="X95" s="245">
        <f>'Expected NPV &amp; Common Data'!X37</f>
        <v>19</v>
      </c>
      <c r="Y95" s="245">
        <f>'Expected NPV &amp; Common Data'!Y37</f>
        <v>20</v>
      </c>
      <c r="Z95" s="245">
        <f>'Expected NPV &amp; Common Data'!Z37</f>
        <v>21</v>
      </c>
      <c r="AA95" s="245">
        <f>'Expected NPV &amp; Common Data'!AA37</f>
        <v>22</v>
      </c>
      <c r="AB95" s="245">
        <f>'Expected NPV &amp; Common Data'!AB37</f>
        <v>23</v>
      </c>
      <c r="AC95" s="245">
        <f>'Expected NPV &amp; Common Data'!AC37</f>
        <v>24</v>
      </c>
      <c r="AD95" s="245">
        <f>'Expected NPV &amp; Common Data'!AD37</f>
        <v>25</v>
      </c>
    </row>
    <row r="96" spans="1:30" s="32" customFormat="1" ht="53.25" customHeight="1">
      <c r="A96" s="22" t="s">
        <v>226</v>
      </c>
      <c r="C96" s="33"/>
      <c r="I96" s="33"/>
      <c r="J96" s="33"/>
      <c r="K96" s="33"/>
      <c r="L96" s="33"/>
      <c r="M96" s="33"/>
      <c r="N96" s="33"/>
      <c r="O96" s="33"/>
      <c r="P96" s="33"/>
      <c r="Q96" s="33"/>
      <c r="R96" s="33"/>
      <c r="S96" s="33"/>
      <c r="T96" s="33"/>
      <c r="U96" s="33"/>
      <c r="V96" s="33"/>
      <c r="W96" s="33"/>
      <c r="X96" s="33"/>
      <c r="Y96" s="33"/>
      <c r="Z96" s="33"/>
      <c r="AA96" s="33"/>
      <c r="AB96" s="33"/>
      <c r="AC96" s="33"/>
      <c r="AD96" s="33"/>
    </row>
    <row r="97" spans="1:30" customFormat="1" ht="18.5">
      <c r="A97" s="17" t="s">
        <v>123</v>
      </c>
      <c r="C97" s="3"/>
      <c r="D97" s="2"/>
      <c r="E97" s="2"/>
      <c r="F97" s="2"/>
      <c r="G97" s="2"/>
      <c r="H97" s="2"/>
      <c r="I97" s="2"/>
      <c r="J97" s="2"/>
      <c r="K97" s="2"/>
      <c r="L97" s="2"/>
      <c r="M97" s="2"/>
      <c r="N97" s="2"/>
      <c r="O97" s="2"/>
      <c r="P97" s="2"/>
      <c r="Q97" s="2"/>
      <c r="R97" s="2"/>
      <c r="S97" s="2"/>
      <c r="T97" s="2"/>
      <c r="U97" s="2"/>
      <c r="V97" s="2"/>
      <c r="W97" s="2"/>
      <c r="X97" s="2"/>
      <c r="Y97" s="2"/>
      <c r="Z97" s="2"/>
      <c r="AA97" s="2"/>
      <c r="AB97" s="2"/>
      <c r="AC97" s="2"/>
      <c r="AD97" s="2"/>
    </row>
    <row r="98" spans="1:30">
      <c r="A98" s="214" t="s">
        <v>283</v>
      </c>
      <c r="B98" s="322" t="s">
        <v>274</v>
      </c>
      <c r="C98" s="288"/>
      <c r="D98" s="288">
        <v>0.65</v>
      </c>
      <c r="E98" s="288">
        <f>D98</f>
        <v>0.65</v>
      </c>
      <c r="F98" s="288">
        <f t="shared" ref="F98:AD98" si="11">E98</f>
        <v>0.65</v>
      </c>
      <c r="G98" s="288">
        <f t="shared" si="11"/>
        <v>0.65</v>
      </c>
      <c r="H98" s="288">
        <f t="shared" si="11"/>
        <v>0.65</v>
      </c>
      <c r="I98" s="288">
        <f t="shared" si="11"/>
        <v>0.65</v>
      </c>
      <c r="J98" s="288">
        <f t="shared" si="11"/>
        <v>0.65</v>
      </c>
      <c r="K98" s="288">
        <f t="shared" si="11"/>
        <v>0.65</v>
      </c>
      <c r="L98" s="288">
        <f t="shared" si="11"/>
        <v>0.65</v>
      </c>
      <c r="M98" s="288">
        <f t="shared" si="11"/>
        <v>0.65</v>
      </c>
      <c r="N98" s="288">
        <f t="shared" si="11"/>
        <v>0.65</v>
      </c>
      <c r="O98" s="288">
        <f t="shared" si="11"/>
        <v>0.65</v>
      </c>
      <c r="P98" s="288">
        <f t="shared" si="11"/>
        <v>0.65</v>
      </c>
      <c r="Q98" s="288">
        <f t="shared" si="11"/>
        <v>0.65</v>
      </c>
      <c r="R98" s="288">
        <f t="shared" si="11"/>
        <v>0.65</v>
      </c>
      <c r="S98" s="288">
        <f t="shared" si="11"/>
        <v>0.65</v>
      </c>
      <c r="T98" s="288">
        <f t="shared" si="11"/>
        <v>0.65</v>
      </c>
      <c r="U98" s="288">
        <f t="shared" si="11"/>
        <v>0.65</v>
      </c>
      <c r="V98" s="288">
        <f t="shared" si="11"/>
        <v>0.65</v>
      </c>
      <c r="W98" s="288">
        <f t="shared" si="11"/>
        <v>0.65</v>
      </c>
      <c r="X98" s="288">
        <f t="shared" si="11"/>
        <v>0.65</v>
      </c>
      <c r="Y98" s="288">
        <f t="shared" si="11"/>
        <v>0.65</v>
      </c>
      <c r="Z98" s="288">
        <f t="shared" si="11"/>
        <v>0.65</v>
      </c>
      <c r="AA98" s="288">
        <f t="shared" si="11"/>
        <v>0.65</v>
      </c>
      <c r="AB98" s="288">
        <f t="shared" si="11"/>
        <v>0.65</v>
      </c>
      <c r="AC98" s="288">
        <f t="shared" si="11"/>
        <v>0.65</v>
      </c>
      <c r="AD98" s="288">
        <f t="shared" si="11"/>
        <v>0.65</v>
      </c>
    </row>
    <row r="99" spans="1:30" customFormat="1" ht="15.5">
      <c r="A99" s="97" t="s">
        <v>191</v>
      </c>
      <c r="C99" s="3"/>
      <c r="D99" s="2"/>
      <c r="E99" s="2"/>
      <c r="F99" s="2"/>
      <c r="G99" s="2"/>
      <c r="H99" s="2"/>
      <c r="I99" s="2"/>
      <c r="J99" s="2"/>
      <c r="K99" s="2"/>
      <c r="L99" s="2"/>
      <c r="M99" s="2"/>
      <c r="N99" s="2"/>
      <c r="O99" s="2"/>
      <c r="P99" s="2"/>
      <c r="Q99" s="2"/>
      <c r="R99" s="2"/>
      <c r="S99" s="2"/>
      <c r="T99" s="2"/>
      <c r="U99" s="2"/>
      <c r="V99" s="2"/>
      <c r="W99" s="2"/>
      <c r="X99" s="2"/>
      <c r="Y99" s="2"/>
      <c r="Z99" s="2"/>
      <c r="AA99" s="2"/>
      <c r="AB99" s="2"/>
      <c r="AC99" s="2"/>
      <c r="AD99" s="2"/>
    </row>
    <row r="100" spans="1:30">
      <c r="A100" s="214" t="s">
        <v>275</v>
      </c>
      <c r="B100" s="322" t="s">
        <v>47</v>
      </c>
      <c r="C100" s="288"/>
      <c r="D100" s="288">
        <v>4</v>
      </c>
      <c r="E100" s="288">
        <f>D100</f>
        <v>4</v>
      </c>
      <c r="F100" s="288">
        <f t="shared" ref="F100:AD100" si="12">E100</f>
        <v>4</v>
      </c>
      <c r="G100" s="288">
        <f t="shared" si="12"/>
        <v>4</v>
      </c>
      <c r="H100" s="288">
        <f t="shared" si="12"/>
        <v>4</v>
      </c>
      <c r="I100" s="288">
        <f t="shared" si="12"/>
        <v>4</v>
      </c>
      <c r="J100" s="288">
        <f t="shared" si="12"/>
        <v>4</v>
      </c>
      <c r="K100" s="288">
        <f t="shared" si="12"/>
        <v>4</v>
      </c>
      <c r="L100" s="288">
        <f t="shared" si="12"/>
        <v>4</v>
      </c>
      <c r="M100" s="288">
        <f t="shared" si="12"/>
        <v>4</v>
      </c>
      <c r="N100" s="288">
        <f t="shared" si="12"/>
        <v>4</v>
      </c>
      <c r="O100" s="288">
        <f t="shared" si="12"/>
        <v>4</v>
      </c>
      <c r="P100" s="288">
        <f t="shared" si="12"/>
        <v>4</v>
      </c>
      <c r="Q100" s="288">
        <f t="shared" si="12"/>
        <v>4</v>
      </c>
      <c r="R100" s="288">
        <f t="shared" si="12"/>
        <v>4</v>
      </c>
      <c r="S100" s="288">
        <f t="shared" si="12"/>
        <v>4</v>
      </c>
      <c r="T100" s="288">
        <f t="shared" si="12"/>
        <v>4</v>
      </c>
      <c r="U100" s="288">
        <f t="shared" si="12"/>
        <v>4</v>
      </c>
      <c r="V100" s="288">
        <f t="shared" si="12"/>
        <v>4</v>
      </c>
      <c r="W100" s="288">
        <f t="shared" si="12"/>
        <v>4</v>
      </c>
      <c r="X100" s="288">
        <f t="shared" si="12"/>
        <v>4</v>
      </c>
      <c r="Y100" s="288">
        <f t="shared" si="12"/>
        <v>4</v>
      </c>
      <c r="Z100" s="288">
        <f t="shared" si="12"/>
        <v>4</v>
      </c>
      <c r="AA100" s="288">
        <f t="shared" si="12"/>
        <v>4</v>
      </c>
      <c r="AB100" s="288">
        <f t="shared" si="12"/>
        <v>4</v>
      </c>
      <c r="AC100" s="288">
        <f t="shared" si="12"/>
        <v>4</v>
      </c>
      <c r="AD100" s="288">
        <f t="shared" si="12"/>
        <v>4</v>
      </c>
    </row>
    <row r="101" spans="1:30">
      <c r="A101" s="214" t="s">
        <v>276</v>
      </c>
      <c r="B101" s="322" t="s">
        <v>113</v>
      </c>
      <c r="C101" s="288"/>
      <c r="D101" s="219">
        <v>2000</v>
      </c>
      <c r="E101" s="219">
        <f>D101</f>
        <v>2000</v>
      </c>
      <c r="F101" s="219">
        <f t="shared" ref="F101:AD101" si="13">E101</f>
        <v>2000</v>
      </c>
      <c r="G101" s="219">
        <f t="shared" si="13"/>
        <v>2000</v>
      </c>
      <c r="H101" s="219">
        <f t="shared" si="13"/>
        <v>2000</v>
      </c>
      <c r="I101" s="219">
        <f t="shared" si="13"/>
        <v>2000</v>
      </c>
      <c r="J101" s="219">
        <f t="shared" si="13"/>
        <v>2000</v>
      </c>
      <c r="K101" s="219">
        <f t="shared" si="13"/>
        <v>2000</v>
      </c>
      <c r="L101" s="219">
        <f t="shared" si="13"/>
        <v>2000</v>
      </c>
      <c r="M101" s="219">
        <f t="shared" si="13"/>
        <v>2000</v>
      </c>
      <c r="N101" s="219">
        <f t="shared" si="13"/>
        <v>2000</v>
      </c>
      <c r="O101" s="219">
        <f t="shared" si="13"/>
        <v>2000</v>
      </c>
      <c r="P101" s="219">
        <f t="shared" si="13"/>
        <v>2000</v>
      </c>
      <c r="Q101" s="219">
        <f t="shared" si="13"/>
        <v>2000</v>
      </c>
      <c r="R101" s="219">
        <f t="shared" si="13"/>
        <v>2000</v>
      </c>
      <c r="S101" s="219">
        <f t="shared" si="13"/>
        <v>2000</v>
      </c>
      <c r="T101" s="219">
        <f t="shared" si="13"/>
        <v>2000</v>
      </c>
      <c r="U101" s="219">
        <f t="shared" si="13"/>
        <v>2000</v>
      </c>
      <c r="V101" s="219">
        <f t="shared" si="13"/>
        <v>2000</v>
      </c>
      <c r="W101" s="219">
        <f t="shared" si="13"/>
        <v>2000</v>
      </c>
      <c r="X101" s="219">
        <f t="shared" si="13"/>
        <v>2000</v>
      </c>
      <c r="Y101" s="219">
        <f t="shared" si="13"/>
        <v>2000</v>
      </c>
      <c r="Z101" s="219">
        <f t="shared" si="13"/>
        <v>2000</v>
      </c>
      <c r="AA101" s="219">
        <f t="shared" si="13"/>
        <v>2000</v>
      </c>
      <c r="AB101" s="219">
        <f t="shared" si="13"/>
        <v>2000</v>
      </c>
      <c r="AC101" s="219">
        <f t="shared" si="13"/>
        <v>2000</v>
      </c>
      <c r="AD101" s="219">
        <f t="shared" si="13"/>
        <v>2000</v>
      </c>
    </row>
    <row r="102" spans="1:30">
      <c r="A102" s="214" t="s">
        <v>277</v>
      </c>
      <c r="B102" s="322" t="s">
        <v>113</v>
      </c>
      <c r="C102" s="288"/>
      <c r="D102" s="219">
        <v>25</v>
      </c>
      <c r="E102" s="219">
        <f>D102</f>
        <v>25</v>
      </c>
      <c r="F102" s="219">
        <f t="shared" ref="F102:AD102" si="14">E102</f>
        <v>25</v>
      </c>
      <c r="G102" s="219">
        <f t="shared" si="14"/>
        <v>25</v>
      </c>
      <c r="H102" s="219">
        <f t="shared" si="14"/>
        <v>25</v>
      </c>
      <c r="I102" s="219">
        <f t="shared" si="14"/>
        <v>25</v>
      </c>
      <c r="J102" s="219">
        <f t="shared" si="14"/>
        <v>25</v>
      </c>
      <c r="K102" s="219">
        <f t="shared" si="14"/>
        <v>25</v>
      </c>
      <c r="L102" s="219">
        <f t="shared" si="14"/>
        <v>25</v>
      </c>
      <c r="M102" s="219">
        <f t="shared" si="14"/>
        <v>25</v>
      </c>
      <c r="N102" s="219">
        <f t="shared" si="14"/>
        <v>25</v>
      </c>
      <c r="O102" s="219">
        <f t="shared" si="14"/>
        <v>25</v>
      </c>
      <c r="P102" s="219">
        <f t="shared" si="14"/>
        <v>25</v>
      </c>
      <c r="Q102" s="219">
        <f t="shared" si="14"/>
        <v>25</v>
      </c>
      <c r="R102" s="219">
        <f t="shared" si="14"/>
        <v>25</v>
      </c>
      <c r="S102" s="219">
        <f t="shared" si="14"/>
        <v>25</v>
      </c>
      <c r="T102" s="219">
        <f t="shared" si="14"/>
        <v>25</v>
      </c>
      <c r="U102" s="219">
        <f t="shared" si="14"/>
        <v>25</v>
      </c>
      <c r="V102" s="219">
        <f t="shared" si="14"/>
        <v>25</v>
      </c>
      <c r="W102" s="219">
        <f t="shared" si="14"/>
        <v>25</v>
      </c>
      <c r="X102" s="219">
        <f t="shared" si="14"/>
        <v>25</v>
      </c>
      <c r="Y102" s="219">
        <f t="shared" si="14"/>
        <v>25</v>
      </c>
      <c r="Z102" s="219">
        <f t="shared" si="14"/>
        <v>25</v>
      </c>
      <c r="AA102" s="219">
        <f t="shared" si="14"/>
        <v>25</v>
      </c>
      <c r="AB102" s="219">
        <f t="shared" si="14"/>
        <v>25</v>
      </c>
      <c r="AC102" s="219">
        <f t="shared" si="14"/>
        <v>25</v>
      </c>
      <c r="AD102" s="219">
        <f t="shared" si="14"/>
        <v>25</v>
      </c>
    </row>
    <row r="103" spans="1:30">
      <c r="A103" s="214" t="s">
        <v>278</v>
      </c>
      <c r="B103" s="322" t="s">
        <v>47</v>
      </c>
      <c r="C103" s="288"/>
      <c r="D103" s="288">
        <v>20</v>
      </c>
      <c r="E103" s="288">
        <f>D103</f>
        <v>20</v>
      </c>
      <c r="F103" s="288">
        <f t="shared" ref="F103:AD103" si="15">E103</f>
        <v>20</v>
      </c>
      <c r="G103" s="288">
        <f t="shared" si="15"/>
        <v>20</v>
      </c>
      <c r="H103" s="288">
        <f t="shared" si="15"/>
        <v>20</v>
      </c>
      <c r="I103" s="288">
        <f t="shared" si="15"/>
        <v>20</v>
      </c>
      <c r="J103" s="288">
        <f t="shared" si="15"/>
        <v>20</v>
      </c>
      <c r="K103" s="288">
        <f t="shared" si="15"/>
        <v>20</v>
      </c>
      <c r="L103" s="288">
        <f t="shared" si="15"/>
        <v>20</v>
      </c>
      <c r="M103" s="288">
        <f t="shared" si="15"/>
        <v>20</v>
      </c>
      <c r="N103" s="288">
        <f t="shared" si="15"/>
        <v>20</v>
      </c>
      <c r="O103" s="288">
        <f t="shared" si="15"/>
        <v>20</v>
      </c>
      <c r="P103" s="288">
        <f t="shared" si="15"/>
        <v>20</v>
      </c>
      <c r="Q103" s="288">
        <f t="shared" si="15"/>
        <v>20</v>
      </c>
      <c r="R103" s="288">
        <f t="shared" si="15"/>
        <v>20</v>
      </c>
      <c r="S103" s="288">
        <f t="shared" si="15"/>
        <v>20</v>
      </c>
      <c r="T103" s="288">
        <f t="shared" si="15"/>
        <v>20</v>
      </c>
      <c r="U103" s="288">
        <f t="shared" si="15"/>
        <v>20</v>
      </c>
      <c r="V103" s="288">
        <f t="shared" si="15"/>
        <v>20</v>
      </c>
      <c r="W103" s="288">
        <f t="shared" si="15"/>
        <v>20</v>
      </c>
      <c r="X103" s="288">
        <f t="shared" si="15"/>
        <v>20</v>
      </c>
      <c r="Y103" s="288">
        <f t="shared" si="15"/>
        <v>20</v>
      </c>
      <c r="Z103" s="288">
        <f t="shared" si="15"/>
        <v>20</v>
      </c>
      <c r="AA103" s="288">
        <f t="shared" si="15"/>
        <v>20</v>
      </c>
      <c r="AB103" s="288">
        <f t="shared" si="15"/>
        <v>20</v>
      </c>
      <c r="AC103" s="288">
        <f t="shared" si="15"/>
        <v>20</v>
      </c>
      <c r="AD103" s="288">
        <f t="shared" si="15"/>
        <v>20</v>
      </c>
    </row>
    <row r="104" spans="1:30" customFormat="1" ht="15.5">
      <c r="A104" s="97" t="s">
        <v>190</v>
      </c>
      <c r="C104" s="3"/>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row>
    <row r="105" spans="1:30">
      <c r="A105" s="214" t="s">
        <v>279</v>
      </c>
      <c r="B105" s="322" t="s">
        <v>60</v>
      </c>
      <c r="C105" s="288"/>
      <c r="D105" s="288">
        <v>100</v>
      </c>
      <c r="E105" s="288">
        <v>80</v>
      </c>
      <c r="F105" s="288">
        <v>80</v>
      </c>
      <c r="G105" s="288">
        <v>80</v>
      </c>
      <c r="H105" s="288">
        <v>80</v>
      </c>
      <c r="I105" s="288">
        <v>80</v>
      </c>
      <c r="J105" s="288">
        <v>80</v>
      </c>
      <c r="K105" s="288">
        <v>80</v>
      </c>
      <c r="L105" s="288">
        <v>80</v>
      </c>
      <c r="M105" s="288">
        <v>80</v>
      </c>
      <c r="N105" s="288">
        <v>80</v>
      </c>
      <c r="O105" s="288">
        <v>80</v>
      </c>
      <c r="P105" s="288">
        <v>80</v>
      </c>
      <c r="Q105" s="288">
        <v>80</v>
      </c>
      <c r="R105" s="288">
        <v>80</v>
      </c>
      <c r="S105" s="288">
        <v>80</v>
      </c>
      <c r="T105" s="288">
        <v>80</v>
      </c>
      <c r="U105" s="288">
        <v>80</v>
      </c>
      <c r="V105" s="288">
        <v>80</v>
      </c>
      <c r="W105" s="288">
        <v>80</v>
      </c>
      <c r="X105" s="288">
        <v>80</v>
      </c>
      <c r="Y105" s="288">
        <v>80</v>
      </c>
      <c r="Z105" s="288">
        <v>80</v>
      </c>
      <c r="AA105" s="288">
        <v>80</v>
      </c>
      <c r="AB105" s="288">
        <v>80</v>
      </c>
      <c r="AC105" s="288">
        <v>80</v>
      </c>
      <c r="AD105" s="288">
        <v>80</v>
      </c>
    </row>
    <row r="106" spans="1:30">
      <c r="A106" s="214" t="s">
        <v>280</v>
      </c>
      <c r="B106" s="322" t="s">
        <v>61</v>
      </c>
      <c r="C106" s="288"/>
      <c r="D106" s="288">
        <v>0.1</v>
      </c>
      <c r="E106" s="288">
        <v>0.08</v>
      </c>
      <c r="F106" s="288">
        <v>0.08</v>
      </c>
      <c r="G106" s="288">
        <v>0.08</v>
      </c>
      <c r="H106" s="288">
        <v>0.08</v>
      </c>
      <c r="I106" s="288">
        <v>0.08</v>
      </c>
      <c r="J106" s="288">
        <v>0.08</v>
      </c>
      <c r="K106" s="288">
        <v>0.08</v>
      </c>
      <c r="L106" s="288">
        <v>0.08</v>
      </c>
      <c r="M106" s="288">
        <v>0.08</v>
      </c>
      <c r="N106" s="288">
        <v>0.08</v>
      </c>
      <c r="O106" s="288">
        <v>0.08</v>
      </c>
      <c r="P106" s="288">
        <v>0.08</v>
      </c>
      <c r="Q106" s="288">
        <v>0.08</v>
      </c>
      <c r="R106" s="288">
        <v>0.08</v>
      </c>
      <c r="S106" s="288">
        <v>0.08</v>
      </c>
      <c r="T106" s="288">
        <v>0.08</v>
      </c>
      <c r="U106" s="288">
        <v>0.08</v>
      </c>
      <c r="V106" s="288">
        <v>0.08</v>
      </c>
      <c r="W106" s="288">
        <v>0.08</v>
      </c>
      <c r="X106" s="288">
        <v>0.08</v>
      </c>
      <c r="Y106" s="288">
        <v>0.08</v>
      </c>
      <c r="Z106" s="288">
        <v>0.08</v>
      </c>
      <c r="AA106" s="288">
        <v>0.08</v>
      </c>
      <c r="AB106" s="288">
        <v>0.08</v>
      </c>
      <c r="AC106" s="288">
        <v>0.08</v>
      </c>
      <c r="AD106" s="288">
        <v>0.08</v>
      </c>
    </row>
    <row r="107" spans="1:30">
      <c r="A107" s="214" t="s">
        <v>281</v>
      </c>
      <c r="B107" s="322" t="s">
        <v>62</v>
      </c>
      <c r="C107" s="288"/>
      <c r="D107" s="288">
        <v>5</v>
      </c>
      <c r="E107" s="288">
        <v>5</v>
      </c>
      <c r="F107" s="288">
        <v>5</v>
      </c>
      <c r="G107" s="288">
        <v>5</v>
      </c>
      <c r="H107" s="288">
        <v>5</v>
      </c>
      <c r="I107" s="288">
        <v>5</v>
      </c>
      <c r="J107" s="288">
        <v>5</v>
      </c>
      <c r="K107" s="288">
        <v>5</v>
      </c>
      <c r="L107" s="288">
        <v>5</v>
      </c>
      <c r="M107" s="288">
        <v>5</v>
      </c>
      <c r="N107" s="288">
        <v>5</v>
      </c>
      <c r="O107" s="288">
        <v>5</v>
      </c>
      <c r="P107" s="288">
        <v>5</v>
      </c>
      <c r="Q107" s="288">
        <v>5</v>
      </c>
      <c r="R107" s="288">
        <v>5</v>
      </c>
      <c r="S107" s="288">
        <v>5</v>
      </c>
      <c r="T107" s="288">
        <v>5</v>
      </c>
      <c r="U107" s="288">
        <v>5</v>
      </c>
      <c r="V107" s="288">
        <v>5</v>
      </c>
      <c r="W107" s="288">
        <v>5</v>
      </c>
      <c r="X107" s="288">
        <v>5</v>
      </c>
      <c r="Y107" s="288">
        <v>5</v>
      </c>
      <c r="Z107" s="288">
        <v>5</v>
      </c>
      <c r="AA107" s="288">
        <v>5</v>
      </c>
      <c r="AB107" s="288">
        <v>5</v>
      </c>
      <c r="AC107" s="288">
        <v>5</v>
      </c>
      <c r="AD107" s="288">
        <v>5</v>
      </c>
    </row>
    <row r="108" spans="1:30">
      <c r="A108" s="214" t="s">
        <v>282</v>
      </c>
      <c r="B108" s="322" t="s">
        <v>62</v>
      </c>
      <c r="C108" s="288"/>
      <c r="D108" s="288">
        <v>0.5</v>
      </c>
      <c r="E108" s="288">
        <v>0.5</v>
      </c>
      <c r="F108" s="288">
        <v>0.5</v>
      </c>
      <c r="G108" s="288">
        <v>0.5</v>
      </c>
      <c r="H108" s="288">
        <v>0.5</v>
      </c>
      <c r="I108" s="288">
        <v>0.5</v>
      </c>
      <c r="J108" s="288">
        <v>0.5</v>
      </c>
      <c r="K108" s="288">
        <v>0.5</v>
      </c>
      <c r="L108" s="288">
        <v>0.5</v>
      </c>
      <c r="M108" s="288">
        <v>0.5</v>
      </c>
      <c r="N108" s="288">
        <v>0.5</v>
      </c>
      <c r="O108" s="288">
        <v>0.5</v>
      </c>
      <c r="P108" s="288">
        <v>0.5</v>
      </c>
      <c r="Q108" s="288">
        <v>0.5</v>
      </c>
      <c r="R108" s="288">
        <v>0.5</v>
      </c>
      <c r="S108" s="288">
        <v>0.5</v>
      </c>
      <c r="T108" s="288">
        <v>0.5</v>
      </c>
      <c r="U108" s="288">
        <v>0.5</v>
      </c>
      <c r="V108" s="288">
        <v>0.5</v>
      </c>
      <c r="W108" s="288">
        <v>0.5</v>
      </c>
      <c r="X108" s="288">
        <v>0.5</v>
      </c>
      <c r="Y108" s="288">
        <v>0.5</v>
      </c>
      <c r="Z108" s="288">
        <v>0.5</v>
      </c>
      <c r="AA108" s="288">
        <v>0.5</v>
      </c>
      <c r="AB108" s="288">
        <v>0.5</v>
      </c>
      <c r="AC108" s="288">
        <v>0.5</v>
      </c>
      <c r="AD108" s="288">
        <v>0.5</v>
      </c>
    </row>
    <row r="109" spans="1:30" s="32" customFormat="1" ht="53.25" customHeight="1">
      <c r="A109" s="21" t="s">
        <v>4</v>
      </c>
      <c r="C109" s="33"/>
      <c r="I109" s="33"/>
      <c r="J109" s="33"/>
      <c r="K109" s="33"/>
      <c r="L109" s="33"/>
      <c r="M109" s="33"/>
      <c r="N109" s="33"/>
      <c r="O109" s="33"/>
      <c r="P109" s="33"/>
      <c r="Q109" s="33"/>
      <c r="R109" s="33"/>
      <c r="S109" s="33"/>
      <c r="T109" s="33"/>
      <c r="U109" s="33"/>
      <c r="V109" s="33"/>
      <c r="W109" s="33"/>
      <c r="X109" s="33"/>
      <c r="Y109" s="33"/>
      <c r="Z109" s="33"/>
      <c r="AA109" s="33"/>
      <c r="AB109" s="33"/>
      <c r="AC109" s="33"/>
      <c r="AD109" s="33"/>
    </row>
    <row r="110" spans="1:30" outlineLevel="1">
      <c r="A110" s="265" t="s">
        <v>543</v>
      </c>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row>
    <row r="111" spans="1:30" ht="43.25" customHeight="1">
      <c r="A111" s="22" t="s">
        <v>7</v>
      </c>
      <c r="I111" s="15"/>
      <c r="J111" s="15"/>
      <c r="K111" s="15"/>
      <c r="L111" s="15"/>
      <c r="M111" s="15"/>
      <c r="N111" s="15"/>
      <c r="O111" s="15"/>
      <c r="P111" s="15"/>
      <c r="Q111" s="15"/>
      <c r="R111" s="15"/>
      <c r="S111" s="15"/>
      <c r="T111" s="15"/>
      <c r="U111" s="15"/>
      <c r="V111" s="15"/>
      <c r="W111" s="15"/>
      <c r="X111" s="15"/>
      <c r="Y111" s="15"/>
      <c r="Z111" s="15"/>
      <c r="AA111" s="15"/>
      <c r="AB111" s="15"/>
      <c r="AC111" s="15"/>
      <c r="AD111" s="15"/>
    </row>
    <row r="112" spans="1:30" ht="34.25" customHeight="1">
      <c r="A112" s="23" t="s">
        <v>194</v>
      </c>
      <c r="I112" s="15"/>
      <c r="J112" s="15"/>
      <c r="K112" s="15"/>
      <c r="L112" s="15"/>
      <c r="M112" s="15"/>
      <c r="N112" s="15"/>
      <c r="O112" s="15"/>
      <c r="P112" s="15"/>
      <c r="Q112" s="15"/>
      <c r="R112" s="15"/>
      <c r="S112" s="15"/>
      <c r="T112" s="15"/>
      <c r="U112" s="15"/>
      <c r="V112" s="15"/>
      <c r="W112" s="15"/>
      <c r="X112" s="15"/>
      <c r="Y112" s="15"/>
      <c r="Z112" s="15"/>
      <c r="AA112" s="15"/>
      <c r="AB112" s="15"/>
      <c r="AC112" s="15"/>
      <c r="AD112" s="15"/>
    </row>
    <row r="113" spans="1:30" s="8" customFormat="1" ht="15.5" outlineLevel="1">
      <c r="A113" s="242" t="str">
        <f>'Expected NPV &amp; Common Data'!A$36</f>
        <v>Calendar Year --&gt;</v>
      </c>
      <c r="B113" s="243" t="str">
        <f>'Expected NPV &amp; Common Data'!B$36</f>
        <v>units</v>
      </c>
      <c r="C113" s="244" t="str">
        <f>'Expected NPV &amp; Common Data'!C$36</f>
        <v>Total</v>
      </c>
      <c r="D113" s="245">
        <f>'Expected NPV &amp; Common Data'!D$36</f>
        <v>2027</v>
      </c>
      <c r="E113" s="245">
        <f>'Expected NPV &amp; Common Data'!E$36</f>
        <v>2028</v>
      </c>
      <c r="F113" s="245">
        <f>'Expected NPV &amp; Common Data'!F$36</f>
        <v>2029</v>
      </c>
      <c r="G113" s="245">
        <f>'Expected NPV &amp; Common Data'!G$36</f>
        <v>2030</v>
      </c>
      <c r="H113" s="245">
        <f>'Expected NPV &amp; Common Data'!H$36</f>
        <v>2031</v>
      </c>
      <c r="I113" s="245">
        <f>'Expected NPV &amp; Common Data'!I$36</f>
        <v>2032</v>
      </c>
      <c r="J113" s="245">
        <f>'Expected NPV &amp; Common Data'!J$36</f>
        <v>2033</v>
      </c>
      <c r="K113" s="245">
        <f>'Expected NPV &amp; Common Data'!K$36</f>
        <v>2034</v>
      </c>
      <c r="L113" s="245">
        <f>'Expected NPV &amp; Common Data'!L$36</f>
        <v>2035</v>
      </c>
      <c r="M113" s="245">
        <f>'Expected NPV &amp; Common Data'!M$36</f>
        <v>2036</v>
      </c>
      <c r="N113" s="245">
        <f>'Expected NPV &amp; Common Data'!N$36</f>
        <v>2037</v>
      </c>
      <c r="O113" s="245">
        <f>'Expected NPV &amp; Common Data'!O$36</f>
        <v>2038</v>
      </c>
      <c r="P113" s="245">
        <f>'Expected NPV &amp; Common Data'!P$36</f>
        <v>2039</v>
      </c>
      <c r="Q113" s="245">
        <f>'Expected NPV &amp; Common Data'!Q$36</f>
        <v>2040</v>
      </c>
      <c r="R113" s="245">
        <f>'Expected NPV &amp; Common Data'!R$36</f>
        <v>2041</v>
      </c>
      <c r="S113" s="245">
        <f>'Expected NPV &amp; Common Data'!S$36</f>
        <v>2042</v>
      </c>
      <c r="T113" s="245">
        <f>'Expected NPV &amp; Common Data'!T$36</f>
        <v>2043</v>
      </c>
      <c r="U113" s="245">
        <f>'Expected NPV &amp; Common Data'!U$36</f>
        <v>2044</v>
      </c>
      <c r="V113" s="245">
        <f>'Expected NPV &amp; Common Data'!V$36</f>
        <v>2045</v>
      </c>
      <c r="W113" s="245">
        <f>'Expected NPV &amp; Common Data'!W$36</f>
        <v>2046</v>
      </c>
      <c r="X113" s="245">
        <f>'Expected NPV &amp; Common Data'!X$36</f>
        <v>2047</v>
      </c>
      <c r="Y113" s="245">
        <f>'Expected NPV &amp; Common Data'!Y$36</f>
        <v>2048</v>
      </c>
      <c r="Z113" s="245">
        <f>'Expected NPV &amp; Common Data'!Z$36</f>
        <v>2049</v>
      </c>
      <c r="AA113" s="245">
        <f>'Expected NPV &amp; Common Data'!AA$36</f>
        <v>2050</v>
      </c>
      <c r="AB113" s="245">
        <f>'Expected NPV &amp; Common Data'!AB$36</f>
        <v>2051</v>
      </c>
      <c r="AC113" s="245">
        <f>'Expected NPV &amp; Common Data'!AC$36</f>
        <v>2052</v>
      </c>
      <c r="AD113" s="245">
        <f>'Expected NPV &amp; Common Data'!AD$36</f>
        <v>2053</v>
      </c>
    </row>
    <row r="114" spans="1:30" outlineLevel="1">
      <c r="A114" s="134" t="s">
        <v>544</v>
      </c>
      <c r="C114" s="42"/>
      <c r="D114" s="13"/>
      <c r="E114" s="13"/>
      <c r="F114" s="13"/>
      <c r="G114" s="13"/>
      <c r="H114" s="13"/>
      <c r="I114" s="42"/>
      <c r="J114" s="42"/>
      <c r="K114" s="42"/>
      <c r="L114" s="42"/>
      <c r="M114" s="42"/>
      <c r="N114" s="42"/>
      <c r="O114" s="42"/>
      <c r="P114" s="42"/>
      <c r="Q114" s="42"/>
      <c r="R114" s="42"/>
      <c r="S114" s="42"/>
      <c r="T114" s="42"/>
      <c r="U114" s="42"/>
      <c r="V114" s="42"/>
      <c r="W114" s="42"/>
      <c r="X114" s="42"/>
      <c r="Y114" s="42"/>
      <c r="Z114" s="42"/>
      <c r="AA114" s="42"/>
      <c r="AB114" s="42"/>
      <c r="AC114" s="42"/>
      <c r="AD114" s="42"/>
    </row>
    <row r="115" spans="1:30" outlineLevel="1">
      <c r="A115" s="31" t="s">
        <v>227</v>
      </c>
      <c r="C115" s="42"/>
      <c r="D115" s="13"/>
      <c r="E115" s="13"/>
      <c r="F115" s="13"/>
      <c r="G115" s="13"/>
      <c r="H115" s="13"/>
      <c r="I115" s="42"/>
      <c r="J115" s="42"/>
      <c r="K115" s="42"/>
      <c r="L115" s="42"/>
      <c r="M115" s="42"/>
      <c r="N115" s="42"/>
      <c r="O115" s="42"/>
      <c r="P115" s="42"/>
      <c r="Q115" s="42"/>
      <c r="R115" s="42"/>
      <c r="S115" s="42"/>
      <c r="T115" s="42"/>
      <c r="U115" s="42"/>
      <c r="V115" s="42"/>
      <c r="W115" s="42"/>
      <c r="X115" s="42"/>
      <c r="Y115" s="42"/>
      <c r="Z115" s="42"/>
      <c r="AA115" s="42"/>
      <c r="AB115" s="42"/>
      <c r="AC115" s="42"/>
      <c r="AD115" s="42"/>
    </row>
    <row r="116" spans="1:30" ht="14.4" customHeight="1" outlineLevel="1">
      <c r="A116" s="214" t="s">
        <v>233</v>
      </c>
      <c r="B116" s="214" t="s">
        <v>156</v>
      </c>
      <c r="C116" s="56">
        <f>SUM(D116:AD116)</f>
        <v>492</v>
      </c>
      <c r="D116" s="226"/>
      <c r="E116" s="219">
        <v>37</v>
      </c>
      <c r="F116" s="219">
        <v>37</v>
      </c>
      <c r="G116" s="219">
        <v>35</v>
      </c>
      <c r="H116" s="219">
        <v>60</v>
      </c>
      <c r="I116" s="219">
        <v>60</v>
      </c>
      <c r="J116" s="219">
        <v>48</v>
      </c>
      <c r="K116" s="219">
        <v>38</v>
      </c>
      <c r="L116" s="219">
        <v>38</v>
      </c>
      <c r="M116" s="219">
        <v>38</v>
      </c>
      <c r="N116" s="219">
        <v>38</v>
      </c>
      <c r="O116" s="219">
        <v>38</v>
      </c>
      <c r="P116" s="219">
        <v>25</v>
      </c>
      <c r="Q116" s="219"/>
      <c r="R116" s="219"/>
      <c r="S116" s="219"/>
      <c r="T116" s="219"/>
      <c r="U116" s="219"/>
      <c r="V116" s="219"/>
      <c r="W116" s="219"/>
      <c r="X116" s="219"/>
      <c r="Y116" s="219"/>
      <c r="Z116" s="219"/>
      <c r="AA116" s="219"/>
      <c r="AB116" s="219"/>
      <c r="AC116" s="219"/>
      <c r="AD116" s="219"/>
    </row>
    <row r="117" spans="1:30" ht="14.4" customHeight="1" outlineLevel="1">
      <c r="A117" s="214" t="s">
        <v>229</v>
      </c>
      <c r="B117" s="214" t="s">
        <v>156</v>
      </c>
      <c r="C117" s="56">
        <f>SUM(D117:AD117)</f>
        <v>58</v>
      </c>
      <c r="D117" s="226"/>
      <c r="E117" s="226"/>
      <c r="F117" s="226">
        <v>6</v>
      </c>
      <c r="G117" s="226">
        <v>8</v>
      </c>
      <c r="H117" s="226">
        <f t="shared" ref="H117:J121" si="16">G117</f>
        <v>8</v>
      </c>
      <c r="I117" s="226">
        <f t="shared" si="16"/>
        <v>8</v>
      </c>
      <c r="J117" s="226">
        <f t="shared" si="16"/>
        <v>8</v>
      </c>
      <c r="K117" s="226">
        <v>5</v>
      </c>
      <c r="L117" s="226">
        <v>3</v>
      </c>
      <c r="M117" s="226">
        <f t="shared" ref="L117:P121" si="17">L117</f>
        <v>3</v>
      </c>
      <c r="N117" s="226">
        <f t="shared" si="17"/>
        <v>3</v>
      </c>
      <c r="O117" s="226">
        <f t="shared" si="17"/>
        <v>3</v>
      </c>
      <c r="P117" s="226">
        <f t="shared" si="17"/>
        <v>3</v>
      </c>
      <c r="Q117" s="226"/>
      <c r="R117" s="226"/>
      <c r="S117" s="226"/>
      <c r="T117" s="226"/>
      <c r="U117" s="226"/>
      <c r="V117" s="226"/>
      <c r="W117" s="226"/>
      <c r="X117" s="226"/>
      <c r="Y117" s="226"/>
      <c r="Z117" s="226"/>
      <c r="AA117" s="226"/>
      <c r="AB117" s="226"/>
      <c r="AC117" s="226"/>
      <c r="AD117" s="226"/>
    </row>
    <row r="118" spans="1:30" ht="14.4" customHeight="1" outlineLevel="1">
      <c r="A118" s="214" t="s">
        <v>97</v>
      </c>
      <c r="B118" s="214" t="s">
        <v>35</v>
      </c>
      <c r="C118" s="215">
        <f>C123/C117/1000</f>
        <v>9.5999999999999992E-3</v>
      </c>
      <c r="D118" s="216"/>
      <c r="E118" s="216"/>
      <c r="F118" s="216">
        <v>9.5999999999999992E-3</v>
      </c>
      <c r="G118" s="216">
        <f>F118</f>
        <v>9.5999999999999992E-3</v>
      </c>
      <c r="H118" s="216">
        <f t="shared" si="16"/>
        <v>9.5999999999999992E-3</v>
      </c>
      <c r="I118" s="216">
        <f t="shared" si="16"/>
        <v>9.5999999999999992E-3</v>
      </c>
      <c r="J118" s="216">
        <f t="shared" si="16"/>
        <v>9.5999999999999992E-3</v>
      </c>
      <c r="K118" s="216">
        <f t="shared" ref="K118:L118" si="18">J118</f>
        <v>9.5999999999999992E-3</v>
      </c>
      <c r="L118" s="216">
        <f t="shared" si="18"/>
        <v>9.5999999999999992E-3</v>
      </c>
      <c r="M118" s="216">
        <f t="shared" si="17"/>
        <v>9.5999999999999992E-3</v>
      </c>
      <c r="N118" s="216">
        <f t="shared" si="17"/>
        <v>9.5999999999999992E-3</v>
      </c>
      <c r="O118" s="216">
        <f t="shared" si="17"/>
        <v>9.5999999999999992E-3</v>
      </c>
      <c r="P118" s="216">
        <f t="shared" si="17"/>
        <v>9.5999999999999992E-3</v>
      </c>
      <c r="Q118" s="216"/>
      <c r="R118" s="216"/>
      <c r="S118" s="216"/>
      <c r="T118" s="216"/>
      <c r="U118" s="253"/>
      <c r="V118" s="253"/>
      <c r="W118" s="253"/>
      <c r="X118" s="253"/>
      <c r="Y118" s="253"/>
      <c r="Z118" s="253"/>
      <c r="AA118" s="253"/>
      <c r="AB118" s="253"/>
      <c r="AC118" s="253"/>
      <c r="AD118" s="253"/>
    </row>
    <row r="119" spans="1:30" ht="14.4" customHeight="1" outlineLevel="1">
      <c r="A119" s="214" t="s">
        <v>216</v>
      </c>
      <c r="B119" s="214" t="s">
        <v>217</v>
      </c>
      <c r="C119" s="254">
        <f>SUMPRODUCT(D$117:AD$117*D119:AD119)/C$117</f>
        <v>0.22</v>
      </c>
      <c r="D119" s="255"/>
      <c r="E119" s="255"/>
      <c r="F119" s="255">
        <v>0.22</v>
      </c>
      <c r="G119" s="255">
        <f>F119</f>
        <v>0.22</v>
      </c>
      <c r="H119" s="255">
        <f t="shared" si="16"/>
        <v>0.22</v>
      </c>
      <c r="I119" s="255">
        <f t="shared" si="16"/>
        <v>0.22</v>
      </c>
      <c r="J119" s="255">
        <f t="shared" si="16"/>
        <v>0.22</v>
      </c>
      <c r="K119" s="255">
        <f>J119</f>
        <v>0.22</v>
      </c>
      <c r="L119" s="255">
        <f t="shared" si="17"/>
        <v>0.22</v>
      </c>
      <c r="M119" s="255">
        <f t="shared" si="17"/>
        <v>0.22</v>
      </c>
      <c r="N119" s="255">
        <f t="shared" si="17"/>
        <v>0.22</v>
      </c>
      <c r="O119" s="255">
        <f t="shared" si="17"/>
        <v>0.22</v>
      </c>
      <c r="P119" s="255">
        <f t="shared" si="17"/>
        <v>0.22</v>
      </c>
      <c r="Q119" s="255"/>
      <c r="R119" s="255"/>
      <c r="S119" s="255"/>
      <c r="T119" s="255"/>
      <c r="U119" s="255"/>
      <c r="V119" s="255"/>
      <c r="W119" s="255"/>
      <c r="X119" s="255"/>
      <c r="Y119" s="255"/>
      <c r="Z119" s="255"/>
      <c r="AA119" s="255"/>
      <c r="AB119" s="255"/>
      <c r="AC119" s="255"/>
      <c r="AD119" s="255"/>
    </row>
    <row r="120" spans="1:30" ht="14.4" customHeight="1" outlineLevel="1">
      <c r="A120" s="214" t="s">
        <v>219</v>
      </c>
      <c r="B120" s="214" t="s">
        <v>218</v>
      </c>
      <c r="C120" s="254">
        <f>SUMPRODUCT(D$117:AD$117*D120:AD120)/C$117</f>
        <v>2</v>
      </c>
      <c r="D120" s="255"/>
      <c r="E120" s="255"/>
      <c r="F120" s="256">
        <v>2</v>
      </c>
      <c r="G120" s="256">
        <f>F120</f>
        <v>2</v>
      </c>
      <c r="H120" s="256">
        <f t="shared" si="16"/>
        <v>2</v>
      </c>
      <c r="I120" s="256">
        <f t="shared" si="16"/>
        <v>2</v>
      </c>
      <c r="J120" s="256">
        <f t="shared" si="16"/>
        <v>2</v>
      </c>
      <c r="K120" s="256">
        <f>J120</f>
        <v>2</v>
      </c>
      <c r="L120" s="256">
        <f t="shared" si="17"/>
        <v>2</v>
      </c>
      <c r="M120" s="256">
        <f t="shared" si="17"/>
        <v>2</v>
      </c>
      <c r="N120" s="256">
        <f t="shared" si="17"/>
        <v>2</v>
      </c>
      <c r="O120" s="256">
        <f t="shared" si="17"/>
        <v>2</v>
      </c>
      <c r="P120" s="256">
        <f t="shared" si="17"/>
        <v>2</v>
      </c>
      <c r="Q120" s="256"/>
      <c r="R120" s="256"/>
      <c r="S120" s="256"/>
      <c r="T120" s="256"/>
      <c r="U120" s="256"/>
      <c r="V120" s="256"/>
      <c r="W120" s="256"/>
      <c r="X120" s="256"/>
      <c r="Y120" s="256"/>
      <c r="Z120" s="256"/>
      <c r="AA120" s="256"/>
      <c r="AB120" s="256"/>
      <c r="AC120" s="256"/>
      <c r="AD120" s="256"/>
    </row>
    <row r="121" spans="1:30" ht="14.4" customHeight="1" outlineLevel="1">
      <c r="A121" s="214" t="s">
        <v>98</v>
      </c>
      <c r="B121" s="214" t="s">
        <v>99</v>
      </c>
      <c r="C121" s="215">
        <f>SUMPRODUCT(D$117:AD$117*D121:AD121)/C$117</f>
        <v>8.9999999999999998E-4</v>
      </c>
      <c r="D121" s="216"/>
      <c r="E121" s="216"/>
      <c r="F121" s="253">
        <v>8.9999999999999998E-4</v>
      </c>
      <c r="G121" s="216">
        <f>F121</f>
        <v>8.9999999999999998E-4</v>
      </c>
      <c r="H121" s="216">
        <f t="shared" si="16"/>
        <v>8.9999999999999998E-4</v>
      </c>
      <c r="I121" s="216">
        <f t="shared" si="16"/>
        <v>8.9999999999999998E-4</v>
      </c>
      <c r="J121" s="216">
        <f t="shared" si="16"/>
        <v>8.9999999999999998E-4</v>
      </c>
      <c r="K121" s="216">
        <f>J121</f>
        <v>8.9999999999999998E-4</v>
      </c>
      <c r="L121" s="216">
        <f t="shared" si="17"/>
        <v>8.9999999999999998E-4</v>
      </c>
      <c r="M121" s="216">
        <f t="shared" si="17"/>
        <v>8.9999999999999998E-4</v>
      </c>
      <c r="N121" s="216">
        <f t="shared" si="17"/>
        <v>8.9999999999999998E-4</v>
      </c>
      <c r="O121" s="216">
        <f t="shared" si="17"/>
        <v>8.9999999999999998E-4</v>
      </c>
      <c r="P121" s="216">
        <f t="shared" si="17"/>
        <v>8.9999999999999998E-4</v>
      </c>
      <c r="Q121" s="216"/>
      <c r="R121" s="216"/>
      <c r="S121" s="216"/>
      <c r="T121" s="216"/>
      <c r="U121" s="253"/>
      <c r="V121" s="253"/>
      <c r="W121" s="253"/>
      <c r="X121" s="253"/>
      <c r="Y121" s="253"/>
      <c r="Z121" s="253"/>
      <c r="AA121" s="253"/>
      <c r="AB121" s="253"/>
      <c r="AC121" s="253"/>
      <c r="AD121" s="253"/>
    </row>
    <row r="122" spans="1:30" outlineLevel="1">
      <c r="A122" s="90"/>
      <c r="C122" s="89"/>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row>
    <row r="123" spans="1:30" outlineLevel="1">
      <c r="A123" s="13" t="s">
        <v>231</v>
      </c>
      <c r="B123" s="13" t="s">
        <v>38</v>
      </c>
      <c r="C123" s="44">
        <f>SUM(D123:AD123)</f>
        <v>556.79999999999995</v>
      </c>
      <c r="D123" s="42">
        <f t="shared" ref="D123:AD123" si="19">D117*D118*1000</f>
        <v>0</v>
      </c>
      <c r="E123" s="42">
        <f t="shared" si="19"/>
        <v>0</v>
      </c>
      <c r="F123" s="42">
        <f t="shared" si="19"/>
        <v>57.6</v>
      </c>
      <c r="G123" s="42">
        <f t="shared" si="19"/>
        <v>76.8</v>
      </c>
      <c r="H123" s="42">
        <f t="shared" si="19"/>
        <v>76.8</v>
      </c>
      <c r="I123" s="42">
        <f t="shared" si="19"/>
        <v>76.8</v>
      </c>
      <c r="J123" s="42">
        <f t="shared" si="19"/>
        <v>76.8</v>
      </c>
      <c r="K123" s="42">
        <f t="shared" si="19"/>
        <v>47.999999999999993</v>
      </c>
      <c r="L123" s="42">
        <f t="shared" si="19"/>
        <v>28.8</v>
      </c>
      <c r="M123" s="42">
        <f t="shared" si="19"/>
        <v>28.8</v>
      </c>
      <c r="N123" s="42">
        <f t="shared" si="19"/>
        <v>28.8</v>
      </c>
      <c r="O123" s="42">
        <f t="shared" si="19"/>
        <v>28.8</v>
      </c>
      <c r="P123" s="42">
        <f t="shared" si="19"/>
        <v>28.8</v>
      </c>
      <c r="Q123" s="42">
        <f t="shared" si="19"/>
        <v>0</v>
      </c>
      <c r="R123" s="42">
        <f t="shared" si="19"/>
        <v>0</v>
      </c>
      <c r="S123" s="42">
        <f t="shared" si="19"/>
        <v>0</v>
      </c>
      <c r="T123" s="42">
        <f t="shared" si="19"/>
        <v>0</v>
      </c>
      <c r="U123" s="42">
        <f t="shared" si="19"/>
        <v>0</v>
      </c>
      <c r="V123" s="42">
        <f t="shared" si="19"/>
        <v>0</v>
      </c>
      <c r="W123" s="42">
        <f t="shared" si="19"/>
        <v>0</v>
      </c>
      <c r="X123" s="42">
        <f t="shared" si="19"/>
        <v>0</v>
      </c>
      <c r="Y123" s="42">
        <f t="shared" si="19"/>
        <v>0</v>
      </c>
      <c r="Z123" s="42">
        <f t="shared" si="19"/>
        <v>0</v>
      </c>
      <c r="AA123" s="42">
        <f t="shared" si="19"/>
        <v>0</v>
      </c>
      <c r="AB123" s="42">
        <f t="shared" si="19"/>
        <v>0</v>
      </c>
      <c r="AC123" s="42">
        <f t="shared" si="19"/>
        <v>0</v>
      </c>
      <c r="AD123" s="42">
        <f t="shared" si="19"/>
        <v>0</v>
      </c>
    </row>
    <row r="124" spans="1:30" outlineLevel="1">
      <c r="A124" s="13" t="s">
        <v>246</v>
      </c>
      <c r="B124" s="13" t="s">
        <v>247</v>
      </c>
      <c r="C124" s="44">
        <f>SUM(D124:AD124)</f>
        <v>410.28938906752421</v>
      </c>
      <c r="D124" s="42">
        <f t="shared" ref="D124:AD124" si="20">D117*D119/31.1*1000</f>
        <v>0</v>
      </c>
      <c r="E124" s="42">
        <f t="shared" si="20"/>
        <v>0</v>
      </c>
      <c r="F124" s="42">
        <f t="shared" si="20"/>
        <v>42.443729903536983</v>
      </c>
      <c r="G124" s="42">
        <f t="shared" si="20"/>
        <v>56.591639871382633</v>
      </c>
      <c r="H124" s="42">
        <f t="shared" si="20"/>
        <v>56.591639871382633</v>
      </c>
      <c r="I124" s="42">
        <f t="shared" si="20"/>
        <v>56.591639871382633</v>
      </c>
      <c r="J124" s="42">
        <f t="shared" si="20"/>
        <v>56.591639871382633</v>
      </c>
      <c r="K124" s="42">
        <f t="shared" si="20"/>
        <v>35.369774919614152</v>
      </c>
      <c r="L124" s="42">
        <f t="shared" si="20"/>
        <v>21.221864951768492</v>
      </c>
      <c r="M124" s="42">
        <f t="shared" si="20"/>
        <v>21.221864951768492</v>
      </c>
      <c r="N124" s="42">
        <f t="shared" si="20"/>
        <v>21.221864951768492</v>
      </c>
      <c r="O124" s="42">
        <f t="shared" si="20"/>
        <v>21.221864951768492</v>
      </c>
      <c r="P124" s="42">
        <f t="shared" si="20"/>
        <v>21.221864951768492</v>
      </c>
      <c r="Q124" s="42">
        <f t="shared" si="20"/>
        <v>0</v>
      </c>
      <c r="R124" s="42">
        <f t="shared" si="20"/>
        <v>0</v>
      </c>
      <c r="S124" s="42">
        <f t="shared" si="20"/>
        <v>0</v>
      </c>
      <c r="T124" s="42">
        <f t="shared" si="20"/>
        <v>0</v>
      </c>
      <c r="U124" s="42">
        <f t="shared" si="20"/>
        <v>0</v>
      </c>
      <c r="V124" s="42">
        <f t="shared" si="20"/>
        <v>0</v>
      </c>
      <c r="W124" s="42">
        <f t="shared" si="20"/>
        <v>0</v>
      </c>
      <c r="X124" s="42">
        <f t="shared" si="20"/>
        <v>0</v>
      </c>
      <c r="Y124" s="42">
        <f t="shared" si="20"/>
        <v>0</v>
      </c>
      <c r="Z124" s="42">
        <f t="shared" si="20"/>
        <v>0</v>
      </c>
      <c r="AA124" s="42">
        <f t="shared" si="20"/>
        <v>0</v>
      </c>
      <c r="AB124" s="42">
        <f t="shared" si="20"/>
        <v>0</v>
      </c>
      <c r="AC124" s="42">
        <f t="shared" si="20"/>
        <v>0</v>
      </c>
      <c r="AD124" s="42">
        <f t="shared" si="20"/>
        <v>0</v>
      </c>
    </row>
    <row r="125" spans="1:30" outlineLevel="1">
      <c r="A125" s="13" t="s">
        <v>248</v>
      </c>
      <c r="B125" s="13" t="s">
        <v>247</v>
      </c>
      <c r="C125" s="44">
        <f>SUM(D125:AD125)</f>
        <v>3729.9035369774924</v>
      </c>
      <c r="D125" s="42">
        <f t="shared" ref="D125:AD125" si="21">D117*D120/31.1*1000</f>
        <v>0</v>
      </c>
      <c r="E125" s="42">
        <f t="shared" si="21"/>
        <v>0</v>
      </c>
      <c r="F125" s="42">
        <f t="shared" si="21"/>
        <v>385.85209003215431</v>
      </c>
      <c r="G125" s="42">
        <f t="shared" si="21"/>
        <v>514.46945337620571</v>
      </c>
      <c r="H125" s="42">
        <f t="shared" si="21"/>
        <v>514.46945337620571</v>
      </c>
      <c r="I125" s="42">
        <f t="shared" si="21"/>
        <v>514.46945337620571</v>
      </c>
      <c r="J125" s="42">
        <f t="shared" si="21"/>
        <v>514.46945337620571</v>
      </c>
      <c r="K125" s="42">
        <f t="shared" si="21"/>
        <v>321.54340836012864</v>
      </c>
      <c r="L125" s="42">
        <f t="shared" si="21"/>
        <v>192.92604501607715</v>
      </c>
      <c r="M125" s="42">
        <f t="shared" si="21"/>
        <v>192.92604501607715</v>
      </c>
      <c r="N125" s="42">
        <f t="shared" si="21"/>
        <v>192.92604501607715</v>
      </c>
      <c r="O125" s="42">
        <f t="shared" si="21"/>
        <v>192.92604501607715</v>
      </c>
      <c r="P125" s="42">
        <f t="shared" si="21"/>
        <v>192.92604501607715</v>
      </c>
      <c r="Q125" s="42">
        <f t="shared" si="21"/>
        <v>0</v>
      </c>
      <c r="R125" s="42">
        <f t="shared" si="21"/>
        <v>0</v>
      </c>
      <c r="S125" s="42">
        <f t="shared" si="21"/>
        <v>0</v>
      </c>
      <c r="T125" s="42">
        <f t="shared" si="21"/>
        <v>0</v>
      </c>
      <c r="U125" s="42">
        <f t="shared" si="21"/>
        <v>0</v>
      </c>
      <c r="V125" s="42">
        <f t="shared" si="21"/>
        <v>0</v>
      </c>
      <c r="W125" s="42">
        <f t="shared" si="21"/>
        <v>0</v>
      </c>
      <c r="X125" s="42">
        <f t="shared" si="21"/>
        <v>0</v>
      </c>
      <c r="Y125" s="42">
        <f t="shared" si="21"/>
        <v>0</v>
      </c>
      <c r="Z125" s="42">
        <f t="shared" si="21"/>
        <v>0</v>
      </c>
      <c r="AA125" s="42">
        <f t="shared" si="21"/>
        <v>0</v>
      </c>
      <c r="AB125" s="42">
        <f t="shared" si="21"/>
        <v>0</v>
      </c>
      <c r="AC125" s="42">
        <f t="shared" si="21"/>
        <v>0</v>
      </c>
      <c r="AD125" s="42">
        <f t="shared" si="21"/>
        <v>0</v>
      </c>
    </row>
    <row r="126" spans="1:30" outlineLevel="1">
      <c r="A126" s="13" t="s">
        <v>245</v>
      </c>
      <c r="B126" s="13" t="s">
        <v>38</v>
      </c>
      <c r="C126" s="44">
        <f>SUM(D126:AD126)</f>
        <v>52.200000000000017</v>
      </c>
      <c r="D126" s="42">
        <f t="shared" ref="D126:AD126" si="22">D117*D121*1000</f>
        <v>0</v>
      </c>
      <c r="E126" s="42">
        <f t="shared" si="22"/>
        <v>0</v>
      </c>
      <c r="F126" s="42">
        <f t="shared" si="22"/>
        <v>5.4</v>
      </c>
      <c r="G126" s="42">
        <f t="shared" si="22"/>
        <v>7.2</v>
      </c>
      <c r="H126" s="42">
        <f t="shared" si="22"/>
        <v>7.2</v>
      </c>
      <c r="I126" s="42">
        <f t="shared" si="22"/>
        <v>7.2</v>
      </c>
      <c r="J126" s="42">
        <f t="shared" si="22"/>
        <v>7.2</v>
      </c>
      <c r="K126" s="42">
        <f t="shared" si="22"/>
        <v>4.5</v>
      </c>
      <c r="L126" s="42">
        <f t="shared" si="22"/>
        <v>2.7</v>
      </c>
      <c r="M126" s="42">
        <f t="shared" si="22"/>
        <v>2.7</v>
      </c>
      <c r="N126" s="42">
        <f t="shared" si="22"/>
        <v>2.7</v>
      </c>
      <c r="O126" s="42">
        <f t="shared" si="22"/>
        <v>2.7</v>
      </c>
      <c r="P126" s="42">
        <f t="shared" si="22"/>
        <v>2.7</v>
      </c>
      <c r="Q126" s="42">
        <f t="shared" si="22"/>
        <v>0</v>
      </c>
      <c r="R126" s="42">
        <f t="shared" si="22"/>
        <v>0</v>
      </c>
      <c r="S126" s="42">
        <f t="shared" si="22"/>
        <v>0</v>
      </c>
      <c r="T126" s="42">
        <f t="shared" si="22"/>
        <v>0</v>
      </c>
      <c r="U126" s="42">
        <f t="shared" si="22"/>
        <v>0</v>
      </c>
      <c r="V126" s="42">
        <f t="shared" si="22"/>
        <v>0</v>
      </c>
      <c r="W126" s="42">
        <f t="shared" si="22"/>
        <v>0</v>
      </c>
      <c r="X126" s="42">
        <f t="shared" si="22"/>
        <v>0</v>
      </c>
      <c r="Y126" s="42">
        <f t="shared" si="22"/>
        <v>0</v>
      </c>
      <c r="Z126" s="42">
        <f t="shared" si="22"/>
        <v>0</v>
      </c>
      <c r="AA126" s="42">
        <f t="shared" si="22"/>
        <v>0</v>
      </c>
      <c r="AB126" s="42">
        <f t="shared" si="22"/>
        <v>0</v>
      </c>
      <c r="AC126" s="42">
        <f t="shared" si="22"/>
        <v>0</v>
      </c>
      <c r="AD126" s="42">
        <f t="shared" si="22"/>
        <v>0</v>
      </c>
    </row>
    <row r="127" spans="1:30" outlineLevel="1">
      <c r="C127" s="44"/>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row>
    <row r="128" spans="1:30" outlineLevel="1">
      <c r="A128" s="31" t="s">
        <v>228</v>
      </c>
      <c r="C128" s="42"/>
      <c r="D128" s="13"/>
      <c r="E128" s="13"/>
      <c r="F128" s="13"/>
      <c r="G128" s="13"/>
      <c r="H128" s="13"/>
      <c r="I128" s="42"/>
      <c r="J128" s="42"/>
      <c r="K128" s="42"/>
      <c r="L128" s="42"/>
      <c r="M128" s="42"/>
      <c r="N128" s="42"/>
      <c r="O128" s="42"/>
      <c r="P128" s="42"/>
      <c r="Q128" s="42"/>
      <c r="R128" s="42"/>
      <c r="S128" s="42"/>
      <c r="T128" s="42"/>
      <c r="U128" s="42"/>
      <c r="V128" s="42"/>
      <c r="W128" s="42"/>
      <c r="X128" s="42"/>
      <c r="Y128" s="42"/>
      <c r="Z128" s="42"/>
      <c r="AA128" s="42"/>
      <c r="AB128" s="42"/>
      <c r="AC128" s="42"/>
      <c r="AD128" s="42"/>
    </row>
    <row r="129" spans="1:30" ht="14.4" customHeight="1" outlineLevel="1">
      <c r="A129" s="214" t="s">
        <v>234</v>
      </c>
      <c r="B129" s="214" t="s">
        <v>156</v>
      </c>
      <c r="C129" s="56">
        <f>SUM(D129:AD129)</f>
        <v>547</v>
      </c>
      <c r="D129" s="226"/>
      <c r="E129" s="219"/>
      <c r="F129" s="219"/>
      <c r="G129" s="219"/>
      <c r="H129" s="219"/>
      <c r="I129" s="219"/>
      <c r="J129" s="219">
        <v>42</v>
      </c>
      <c r="K129" s="219">
        <v>52</v>
      </c>
      <c r="L129" s="219">
        <v>52</v>
      </c>
      <c r="M129" s="219">
        <v>52</v>
      </c>
      <c r="N129" s="219">
        <v>52</v>
      </c>
      <c r="O129" s="219">
        <v>52</v>
      </c>
      <c r="P129" s="219">
        <v>65</v>
      </c>
      <c r="Q129" s="219">
        <v>65</v>
      </c>
      <c r="R129" s="219">
        <v>65</v>
      </c>
      <c r="S129" s="219">
        <v>50</v>
      </c>
      <c r="T129" s="219"/>
      <c r="U129" s="219"/>
      <c r="V129" s="219"/>
      <c r="W129" s="219"/>
      <c r="X129" s="219"/>
      <c r="Y129" s="219"/>
      <c r="Z129" s="219"/>
      <c r="AA129" s="219"/>
      <c r="AB129" s="219"/>
      <c r="AC129" s="219"/>
      <c r="AD129" s="219"/>
    </row>
    <row r="130" spans="1:30" ht="14.4" customHeight="1" outlineLevel="1">
      <c r="A130" s="214" t="s">
        <v>230</v>
      </c>
      <c r="B130" s="214" t="s">
        <v>156</v>
      </c>
      <c r="C130" s="56">
        <f>SUM(D130:AD130)</f>
        <v>60</v>
      </c>
      <c r="D130" s="226"/>
      <c r="E130" s="226"/>
      <c r="F130" s="226"/>
      <c r="G130" s="226"/>
      <c r="H130" s="226"/>
      <c r="I130" s="226"/>
      <c r="J130" s="226"/>
      <c r="K130" s="226">
        <v>3</v>
      </c>
      <c r="L130" s="226">
        <v>5</v>
      </c>
      <c r="M130" s="226">
        <f t="shared" ref="L130:P132" si="23">L130</f>
        <v>5</v>
      </c>
      <c r="N130" s="226">
        <f t="shared" si="23"/>
        <v>5</v>
      </c>
      <c r="O130" s="226">
        <f t="shared" si="23"/>
        <v>5</v>
      </c>
      <c r="P130" s="226">
        <f t="shared" si="23"/>
        <v>5</v>
      </c>
      <c r="Q130" s="226">
        <v>8</v>
      </c>
      <c r="R130" s="226">
        <f t="shared" ref="R130:T132" si="24">Q130</f>
        <v>8</v>
      </c>
      <c r="S130" s="226">
        <f t="shared" si="24"/>
        <v>8</v>
      </c>
      <c r="T130" s="226">
        <f t="shared" si="24"/>
        <v>8</v>
      </c>
      <c r="U130" s="226">
        <v>0</v>
      </c>
      <c r="V130" s="226">
        <v>0</v>
      </c>
      <c r="W130" s="226">
        <v>0</v>
      </c>
      <c r="X130" s="226">
        <v>0</v>
      </c>
      <c r="Y130" s="226">
        <v>0</v>
      </c>
      <c r="Z130" s="226"/>
      <c r="AA130" s="226"/>
      <c r="AB130" s="226"/>
      <c r="AC130" s="226"/>
      <c r="AD130" s="226"/>
    </row>
    <row r="131" spans="1:30" ht="14.4" customHeight="1" outlineLevel="1">
      <c r="A131" s="214" t="s">
        <v>97</v>
      </c>
      <c r="B131" s="214" t="s">
        <v>35</v>
      </c>
      <c r="C131" s="215">
        <f>C134/C130/1000</f>
        <v>8.8000000000000005E-3</v>
      </c>
      <c r="D131" s="216"/>
      <c r="E131" s="216"/>
      <c r="F131" s="216"/>
      <c r="G131" s="216"/>
      <c r="H131" s="216"/>
      <c r="I131" s="216"/>
      <c r="J131" s="216"/>
      <c r="K131" s="216">
        <v>8.8000000000000005E-3</v>
      </c>
      <c r="L131" s="216">
        <f t="shared" si="23"/>
        <v>8.8000000000000005E-3</v>
      </c>
      <c r="M131" s="216">
        <f t="shared" si="23"/>
        <v>8.8000000000000005E-3</v>
      </c>
      <c r="N131" s="216">
        <f t="shared" si="23"/>
        <v>8.8000000000000005E-3</v>
      </c>
      <c r="O131" s="216">
        <f t="shared" si="23"/>
        <v>8.8000000000000005E-3</v>
      </c>
      <c r="P131" s="216">
        <f t="shared" si="23"/>
        <v>8.8000000000000005E-3</v>
      </c>
      <c r="Q131" s="216">
        <f>P131</f>
        <v>8.8000000000000005E-3</v>
      </c>
      <c r="R131" s="216">
        <f t="shared" si="24"/>
        <v>8.8000000000000005E-3</v>
      </c>
      <c r="S131" s="216">
        <f t="shared" si="24"/>
        <v>8.8000000000000005E-3</v>
      </c>
      <c r="T131" s="216">
        <f t="shared" si="24"/>
        <v>8.8000000000000005E-3</v>
      </c>
      <c r="U131" s="253"/>
      <c r="V131" s="253"/>
      <c r="W131" s="253"/>
      <c r="X131" s="253"/>
      <c r="Y131" s="253"/>
      <c r="Z131" s="253"/>
      <c r="AA131" s="253"/>
      <c r="AB131" s="253"/>
      <c r="AC131" s="253"/>
      <c r="AD131" s="253"/>
    </row>
    <row r="132" spans="1:30" ht="14.4" customHeight="1" outlineLevel="1">
      <c r="A132" s="214" t="s">
        <v>216</v>
      </c>
      <c r="B132" s="214" t="s">
        <v>217</v>
      </c>
      <c r="C132" s="254">
        <f>SUMPRODUCT(D$117:AD$117*D132:AD132)/C$117</f>
        <v>6.2068965517241378E-2</v>
      </c>
      <c r="D132" s="255"/>
      <c r="E132" s="255"/>
      <c r="F132" s="255"/>
      <c r="G132" s="255"/>
      <c r="H132" s="255"/>
      <c r="I132" s="255"/>
      <c r="J132" s="255"/>
      <c r="K132" s="255">
        <v>0.18</v>
      </c>
      <c r="L132" s="255">
        <f t="shared" si="23"/>
        <v>0.18</v>
      </c>
      <c r="M132" s="255">
        <f t="shared" si="23"/>
        <v>0.18</v>
      </c>
      <c r="N132" s="255">
        <f t="shared" si="23"/>
        <v>0.18</v>
      </c>
      <c r="O132" s="255">
        <f t="shared" si="23"/>
        <v>0.18</v>
      </c>
      <c r="P132" s="255">
        <f t="shared" si="23"/>
        <v>0.18</v>
      </c>
      <c r="Q132" s="255">
        <f>P132</f>
        <v>0.18</v>
      </c>
      <c r="R132" s="255">
        <f t="shared" si="24"/>
        <v>0.18</v>
      </c>
      <c r="S132" s="255">
        <f t="shared" si="24"/>
        <v>0.18</v>
      </c>
      <c r="T132" s="255">
        <f t="shared" si="24"/>
        <v>0.18</v>
      </c>
      <c r="U132" s="255"/>
      <c r="V132" s="255"/>
      <c r="W132" s="255"/>
      <c r="X132" s="255"/>
      <c r="Y132" s="255"/>
      <c r="Z132" s="255"/>
      <c r="AA132" s="255"/>
      <c r="AB132" s="255"/>
      <c r="AC132" s="255"/>
      <c r="AD132" s="255"/>
    </row>
    <row r="133" spans="1:30" outlineLevel="1">
      <c r="A133" s="90"/>
      <c r="C133" s="89"/>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row>
    <row r="134" spans="1:30" outlineLevel="1">
      <c r="A134" s="13" t="s">
        <v>232</v>
      </c>
      <c r="B134" s="13" t="s">
        <v>38</v>
      </c>
      <c r="C134" s="44">
        <f>SUM(D134:AD134)</f>
        <v>528</v>
      </c>
      <c r="D134" s="42">
        <f t="shared" ref="D134:AD134" si="25">D130*D131*1000</f>
        <v>0</v>
      </c>
      <c r="E134" s="42">
        <f t="shared" si="25"/>
        <v>0</v>
      </c>
      <c r="F134" s="42">
        <f t="shared" si="25"/>
        <v>0</v>
      </c>
      <c r="G134" s="42">
        <f t="shared" si="25"/>
        <v>0</v>
      </c>
      <c r="H134" s="42">
        <f t="shared" si="25"/>
        <v>0</v>
      </c>
      <c r="I134" s="42">
        <f t="shared" si="25"/>
        <v>0</v>
      </c>
      <c r="J134" s="42">
        <f t="shared" si="25"/>
        <v>0</v>
      </c>
      <c r="K134" s="42">
        <f t="shared" si="25"/>
        <v>26.4</v>
      </c>
      <c r="L134" s="42">
        <f t="shared" si="25"/>
        <v>44.000000000000007</v>
      </c>
      <c r="M134" s="42">
        <f t="shared" si="25"/>
        <v>44.000000000000007</v>
      </c>
      <c r="N134" s="42">
        <f t="shared" si="25"/>
        <v>44.000000000000007</v>
      </c>
      <c r="O134" s="42">
        <f t="shared" si="25"/>
        <v>44.000000000000007</v>
      </c>
      <c r="P134" s="42">
        <f t="shared" si="25"/>
        <v>44.000000000000007</v>
      </c>
      <c r="Q134" s="42">
        <f t="shared" si="25"/>
        <v>70.400000000000006</v>
      </c>
      <c r="R134" s="42">
        <f t="shared" si="25"/>
        <v>70.400000000000006</v>
      </c>
      <c r="S134" s="42">
        <f t="shared" si="25"/>
        <v>70.400000000000006</v>
      </c>
      <c r="T134" s="42">
        <f t="shared" si="25"/>
        <v>70.400000000000006</v>
      </c>
      <c r="U134" s="42">
        <f t="shared" si="25"/>
        <v>0</v>
      </c>
      <c r="V134" s="42">
        <f t="shared" si="25"/>
        <v>0</v>
      </c>
      <c r="W134" s="42">
        <f t="shared" si="25"/>
        <v>0</v>
      </c>
      <c r="X134" s="42">
        <f t="shared" si="25"/>
        <v>0</v>
      </c>
      <c r="Y134" s="42">
        <f t="shared" si="25"/>
        <v>0</v>
      </c>
      <c r="Z134" s="42">
        <f t="shared" si="25"/>
        <v>0</v>
      </c>
      <c r="AA134" s="42">
        <f t="shared" si="25"/>
        <v>0</v>
      </c>
      <c r="AB134" s="42">
        <f t="shared" si="25"/>
        <v>0</v>
      </c>
      <c r="AC134" s="42">
        <f t="shared" si="25"/>
        <v>0</v>
      </c>
      <c r="AD134" s="42">
        <f t="shared" si="25"/>
        <v>0</v>
      </c>
    </row>
    <row r="135" spans="1:30" outlineLevel="1">
      <c r="A135" s="13" t="s">
        <v>246</v>
      </c>
      <c r="B135" s="13" t="s">
        <v>247</v>
      </c>
      <c r="C135" s="44">
        <f>SUM(D135:AD135)</f>
        <v>336.44859813084111</v>
      </c>
      <c r="D135" s="42">
        <f t="shared" ref="D135:AD135" si="26">D130*D132/32.1*1000</f>
        <v>0</v>
      </c>
      <c r="E135" s="42">
        <f t="shared" si="26"/>
        <v>0</v>
      </c>
      <c r="F135" s="42">
        <f t="shared" si="26"/>
        <v>0</v>
      </c>
      <c r="G135" s="42">
        <f t="shared" si="26"/>
        <v>0</v>
      </c>
      <c r="H135" s="42">
        <f t="shared" si="26"/>
        <v>0</v>
      </c>
      <c r="I135" s="42">
        <f t="shared" si="26"/>
        <v>0</v>
      </c>
      <c r="J135" s="42">
        <f t="shared" si="26"/>
        <v>0</v>
      </c>
      <c r="K135" s="42">
        <f t="shared" si="26"/>
        <v>16.822429906542055</v>
      </c>
      <c r="L135" s="42">
        <f t="shared" si="26"/>
        <v>28.037383177570089</v>
      </c>
      <c r="M135" s="42">
        <f t="shared" si="26"/>
        <v>28.037383177570089</v>
      </c>
      <c r="N135" s="42">
        <f t="shared" si="26"/>
        <v>28.037383177570089</v>
      </c>
      <c r="O135" s="42">
        <f t="shared" si="26"/>
        <v>28.037383177570089</v>
      </c>
      <c r="P135" s="42">
        <f t="shared" si="26"/>
        <v>28.037383177570089</v>
      </c>
      <c r="Q135" s="42">
        <f t="shared" si="26"/>
        <v>44.859813084112147</v>
      </c>
      <c r="R135" s="42">
        <f t="shared" si="26"/>
        <v>44.859813084112147</v>
      </c>
      <c r="S135" s="42">
        <f t="shared" si="26"/>
        <v>44.859813084112147</v>
      </c>
      <c r="T135" s="42">
        <f t="shared" si="26"/>
        <v>44.859813084112147</v>
      </c>
      <c r="U135" s="42">
        <f t="shared" si="26"/>
        <v>0</v>
      </c>
      <c r="V135" s="42">
        <f t="shared" si="26"/>
        <v>0</v>
      </c>
      <c r="W135" s="42">
        <f t="shared" si="26"/>
        <v>0</v>
      </c>
      <c r="X135" s="42">
        <f t="shared" si="26"/>
        <v>0</v>
      </c>
      <c r="Y135" s="42">
        <f t="shared" si="26"/>
        <v>0</v>
      </c>
      <c r="Z135" s="42">
        <f t="shared" si="26"/>
        <v>0</v>
      </c>
      <c r="AA135" s="42">
        <f t="shared" si="26"/>
        <v>0</v>
      </c>
      <c r="AB135" s="42">
        <f t="shared" si="26"/>
        <v>0</v>
      </c>
      <c r="AC135" s="42">
        <f t="shared" si="26"/>
        <v>0</v>
      </c>
      <c r="AD135" s="42">
        <f t="shared" si="26"/>
        <v>0</v>
      </c>
    </row>
    <row r="136" spans="1:30" outlineLevel="1">
      <c r="C136" s="44"/>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row>
    <row r="137" spans="1:30" outlineLevel="1">
      <c r="A137" s="31" t="s">
        <v>235</v>
      </c>
      <c r="C137" s="42"/>
      <c r="D137" s="13"/>
      <c r="E137" s="13"/>
      <c r="F137" s="13"/>
      <c r="G137" s="13"/>
      <c r="H137" s="13"/>
      <c r="I137" s="42"/>
      <c r="J137" s="42"/>
      <c r="K137" s="42"/>
      <c r="L137" s="42"/>
      <c r="M137" s="42"/>
      <c r="N137" s="42"/>
      <c r="O137" s="42"/>
      <c r="P137" s="42"/>
      <c r="Q137" s="42"/>
      <c r="R137" s="42"/>
      <c r="S137" s="42"/>
      <c r="T137" s="42"/>
      <c r="U137" s="42"/>
      <c r="V137" s="42"/>
      <c r="W137" s="42"/>
      <c r="X137" s="42"/>
      <c r="Y137" s="42"/>
      <c r="Z137" s="42"/>
      <c r="AA137" s="42"/>
      <c r="AB137" s="42"/>
      <c r="AC137" s="42"/>
      <c r="AD137" s="42"/>
    </row>
    <row r="138" spans="1:30" outlineLevel="1">
      <c r="A138" s="13" t="s">
        <v>236</v>
      </c>
      <c r="B138" s="13" t="s">
        <v>192</v>
      </c>
      <c r="C138" s="44">
        <f>SUM(D138:AD138)</f>
        <v>1039</v>
      </c>
      <c r="D138" s="42">
        <f t="shared" ref="D138:AD138" si="27">D116+D129</f>
        <v>0</v>
      </c>
      <c r="E138" s="42">
        <f t="shared" si="27"/>
        <v>37</v>
      </c>
      <c r="F138" s="42">
        <f t="shared" si="27"/>
        <v>37</v>
      </c>
      <c r="G138" s="42">
        <f t="shared" si="27"/>
        <v>35</v>
      </c>
      <c r="H138" s="42">
        <f t="shared" si="27"/>
        <v>60</v>
      </c>
      <c r="I138" s="42">
        <f t="shared" si="27"/>
        <v>60</v>
      </c>
      <c r="J138" s="42">
        <f t="shared" si="27"/>
        <v>90</v>
      </c>
      <c r="K138" s="42">
        <f t="shared" si="27"/>
        <v>90</v>
      </c>
      <c r="L138" s="42">
        <f t="shared" si="27"/>
        <v>90</v>
      </c>
      <c r="M138" s="42">
        <f t="shared" si="27"/>
        <v>90</v>
      </c>
      <c r="N138" s="42">
        <f t="shared" si="27"/>
        <v>90</v>
      </c>
      <c r="O138" s="42">
        <f t="shared" si="27"/>
        <v>90</v>
      </c>
      <c r="P138" s="42">
        <f t="shared" si="27"/>
        <v>90</v>
      </c>
      <c r="Q138" s="42">
        <f t="shared" si="27"/>
        <v>65</v>
      </c>
      <c r="R138" s="42">
        <f t="shared" si="27"/>
        <v>65</v>
      </c>
      <c r="S138" s="42">
        <f t="shared" si="27"/>
        <v>50</v>
      </c>
      <c r="T138" s="42">
        <f t="shared" si="27"/>
        <v>0</v>
      </c>
      <c r="U138" s="42">
        <f t="shared" si="27"/>
        <v>0</v>
      </c>
      <c r="V138" s="42">
        <f t="shared" si="27"/>
        <v>0</v>
      </c>
      <c r="W138" s="42">
        <f t="shared" si="27"/>
        <v>0</v>
      </c>
      <c r="X138" s="42">
        <f t="shared" si="27"/>
        <v>0</v>
      </c>
      <c r="Y138" s="42">
        <f t="shared" si="27"/>
        <v>0</v>
      </c>
      <c r="Z138" s="42">
        <f t="shared" si="27"/>
        <v>0</v>
      </c>
      <c r="AA138" s="42">
        <f t="shared" si="27"/>
        <v>0</v>
      </c>
      <c r="AB138" s="42">
        <f t="shared" si="27"/>
        <v>0</v>
      </c>
      <c r="AC138" s="42">
        <f t="shared" si="27"/>
        <v>0</v>
      </c>
      <c r="AD138" s="42">
        <f t="shared" si="27"/>
        <v>0</v>
      </c>
    </row>
    <row r="139" spans="1:30" outlineLevel="1">
      <c r="A139" s="13" t="s">
        <v>237</v>
      </c>
      <c r="B139" s="13" t="s">
        <v>192</v>
      </c>
      <c r="C139" s="44">
        <f>SUM(D139:AD139)</f>
        <v>118</v>
      </c>
      <c r="D139" s="42">
        <f t="shared" ref="D139:AD139" si="28">D117+D130</f>
        <v>0</v>
      </c>
      <c r="E139" s="42">
        <f t="shared" si="28"/>
        <v>0</v>
      </c>
      <c r="F139" s="42">
        <f t="shared" si="28"/>
        <v>6</v>
      </c>
      <c r="G139" s="42">
        <f t="shared" si="28"/>
        <v>8</v>
      </c>
      <c r="H139" s="42">
        <f t="shared" si="28"/>
        <v>8</v>
      </c>
      <c r="I139" s="42">
        <f t="shared" si="28"/>
        <v>8</v>
      </c>
      <c r="J139" s="42">
        <f t="shared" si="28"/>
        <v>8</v>
      </c>
      <c r="K139" s="42">
        <f t="shared" si="28"/>
        <v>8</v>
      </c>
      <c r="L139" s="42">
        <f t="shared" si="28"/>
        <v>8</v>
      </c>
      <c r="M139" s="42">
        <f t="shared" si="28"/>
        <v>8</v>
      </c>
      <c r="N139" s="42">
        <f t="shared" si="28"/>
        <v>8</v>
      </c>
      <c r="O139" s="42">
        <f t="shared" si="28"/>
        <v>8</v>
      </c>
      <c r="P139" s="42">
        <f t="shared" si="28"/>
        <v>8</v>
      </c>
      <c r="Q139" s="42">
        <f t="shared" si="28"/>
        <v>8</v>
      </c>
      <c r="R139" s="42">
        <f t="shared" si="28"/>
        <v>8</v>
      </c>
      <c r="S139" s="42">
        <f t="shared" si="28"/>
        <v>8</v>
      </c>
      <c r="T139" s="42">
        <f t="shared" si="28"/>
        <v>8</v>
      </c>
      <c r="U139" s="42">
        <f t="shared" si="28"/>
        <v>0</v>
      </c>
      <c r="V139" s="42">
        <f t="shared" si="28"/>
        <v>0</v>
      </c>
      <c r="W139" s="42">
        <f t="shared" si="28"/>
        <v>0</v>
      </c>
      <c r="X139" s="42">
        <f t="shared" si="28"/>
        <v>0</v>
      </c>
      <c r="Y139" s="42">
        <f t="shared" si="28"/>
        <v>0</v>
      </c>
      <c r="Z139" s="42">
        <f t="shared" si="28"/>
        <v>0</v>
      </c>
      <c r="AA139" s="42">
        <f t="shared" si="28"/>
        <v>0</v>
      </c>
      <c r="AB139" s="42">
        <f t="shared" si="28"/>
        <v>0</v>
      </c>
      <c r="AC139" s="42">
        <f t="shared" si="28"/>
        <v>0</v>
      </c>
      <c r="AD139" s="42">
        <f t="shared" si="28"/>
        <v>0</v>
      </c>
    </row>
    <row r="140" spans="1:30" outlineLevel="1">
      <c r="A140" s="13" t="s">
        <v>238</v>
      </c>
      <c r="B140" s="13" t="s">
        <v>38</v>
      </c>
      <c r="C140" s="44">
        <f>SUM(D140:AD140)</f>
        <v>1084.7999999999997</v>
      </c>
      <c r="D140" s="42">
        <f t="shared" ref="D140:AD140" si="29">D123+D134</f>
        <v>0</v>
      </c>
      <c r="E140" s="42">
        <f t="shared" si="29"/>
        <v>0</v>
      </c>
      <c r="F140" s="42">
        <f t="shared" si="29"/>
        <v>57.6</v>
      </c>
      <c r="G140" s="42">
        <f t="shared" si="29"/>
        <v>76.8</v>
      </c>
      <c r="H140" s="42">
        <f t="shared" si="29"/>
        <v>76.8</v>
      </c>
      <c r="I140" s="42">
        <f t="shared" si="29"/>
        <v>76.8</v>
      </c>
      <c r="J140" s="42">
        <f t="shared" si="29"/>
        <v>76.8</v>
      </c>
      <c r="K140" s="42">
        <f t="shared" si="29"/>
        <v>74.399999999999991</v>
      </c>
      <c r="L140" s="42">
        <f t="shared" si="29"/>
        <v>72.800000000000011</v>
      </c>
      <c r="M140" s="42">
        <f t="shared" si="29"/>
        <v>72.800000000000011</v>
      </c>
      <c r="N140" s="42">
        <f t="shared" si="29"/>
        <v>72.800000000000011</v>
      </c>
      <c r="O140" s="42">
        <f t="shared" si="29"/>
        <v>72.800000000000011</v>
      </c>
      <c r="P140" s="42">
        <f t="shared" si="29"/>
        <v>72.800000000000011</v>
      </c>
      <c r="Q140" s="42">
        <f t="shared" si="29"/>
        <v>70.400000000000006</v>
      </c>
      <c r="R140" s="42">
        <f t="shared" si="29"/>
        <v>70.400000000000006</v>
      </c>
      <c r="S140" s="42">
        <f t="shared" si="29"/>
        <v>70.400000000000006</v>
      </c>
      <c r="T140" s="42">
        <f t="shared" si="29"/>
        <v>70.400000000000006</v>
      </c>
      <c r="U140" s="42">
        <f t="shared" si="29"/>
        <v>0</v>
      </c>
      <c r="V140" s="42">
        <f t="shared" si="29"/>
        <v>0</v>
      </c>
      <c r="W140" s="42">
        <f t="shared" si="29"/>
        <v>0</v>
      </c>
      <c r="X140" s="42">
        <f t="shared" si="29"/>
        <v>0</v>
      </c>
      <c r="Y140" s="42">
        <f t="shared" si="29"/>
        <v>0</v>
      </c>
      <c r="Z140" s="42">
        <f t="shared" si="29"/>
        <v>0</v>
      </c>
      <c r="AA140" s="42">
        <f t="shared" si="29"/>
        <v>0</v>
      </c>
      <c r="AB140" s="42">
        <f t="shared" si="29"/>
        <v>0</v>
      </c>
      <c r="AC140" s="42">
        <f t="shared" si="29"/>
        <v>0</v>
      </c>
      <c r="AD140" s="42">
        <f t="shared" si="29"/>
        <v>0</v>
      </c>
    </row>
    <row r="141" spans="1:30" outlineLevel="1">
      <c r="C141" s="44"/>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row>
    <row r="142" spans="1:30" outlineLevel="1">
      <c r="A142" s="31" t="s">
        <v>39</v>
      </c>
      <c r="C142" s="42"/>
      <c r="D142" s="13"/>
      <c r="E142" s="13"/>
      <c r="F142" s="13"/>
      <c r="G142" s="13"/>
      <c r="H142" s="13"/>
      <c r="I142" s="42"/>
      <c r="J142" s="42"/>
      <c r="K142" s="42"/>
      <c r="L142" s="42"/>
      <c r="M142" s="42"/>
      <c r="N142" s="42"/>
      <c r="O142" s="42"/>
      <c r="P142" s="42"/>
      <c r="Q142" s="42"/>
      <c r="R142" s="42"/>
      <c r="S142" s="42"/>
      <c r="T142" s="42"/>
      <c r="U142" s="42"/>
      <c r="V142" s="42"/>
      <c r="W142" s="42"/>
      <c r="X142" s="42"/>
      <c r="Y142" s="42"/>
      <c r="Z142" s="42"/>
      <c r="AA142" s="42"/>
      <c r="AB142" s="42"/>
      <c r="AC142" s="42"/>
      <c r="AD142" s="42"/>
    </row>
    <row r="143" spans="1:30" outlineLevel="1">
      <c r="A143" s="134" t="s">
        <v>545</v>
      </c>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row>
    <row r="144" spans="1:30" ht="14.4" customHeight="1" outlineLevel="1">
      <c r="A144" s="214" t="s">
        <v>39</v>
      </c>
      <c r="B144" s="214" t="s">
        <v>8</v>
      </c>
      <c r="C144" s="254">
        <f>SUMPRODUCT(D$117:AD$117*D144:AD144)/C$117</f>
        <v>6</v>
      </c>
      <c r="D144" s="255"/>
      <c r="E144" s="255"/>
      <c r="F144" s="257">
        <v>6</v>
      </c>
      <c r="G144" s="257">
        <f t="shared" ref="G144:T144" si="30">F144</f>
        <v>6</v>
      </c>
      <c r="H144" s="257">
        <f t="shared" si="30"/>
        <v>6</v>
      </c>
      <c r="I144" s="257">
        <f t="shared" si="30"/>
        <v>6</v>
      </c>
      <c r="J144" s="257">
        <f t="shared" si="30"/>
        <v>6</v>
      </c>
      <c r="K144" s="257">
        <f t="shared" si="30"/>
        <v>6</v>
      </c>
      <c r="L144" s="257">
        <f t="shared" si="30"/>
        <v>6</v>
      </c>
      <c r="M144" s="257">
        <f t="shared" si="30"/>
        <v>6</v>
      </c>
      <c r="N144" s="257">
        <f t="shared" si="30"/>
        <v>6</v>
      </c>
      <c r="O144" s="257">
        <f t="shared" si="30"/>
        <v>6</v>
      </c>
      <c r="P144" s="257">
        <f t="shared" si="30"/>
        <v>6</v>
      </c>
      <c r="Q144" s="257">
        <f t="shared" si="30"/>
        <v>6</v>
      </c>
      <c r="R144" s="257">
        <f t="shared" si="30"/>
        <v>6</v>
      </c>
      <c r="S144" s="257">
        <f t="shared" si="30"/>
        <v>6</v>
      </c>
      <c r="T144" s="257">
        <f t="shared" si="30"/>
        <v>6</v>
      </c>
      <c r="U144" s="257"/>
      <c r="V144" s="257"/>
      <c r="W144" s="257"/>
      <c r="X144" s="257"/>
      <c r="Y144" s="257"/>
      <c r="Z144" s="257"/>
      <c r="AA144" s="257"/>
      <c r="AB144" s="257"/>
      <c r="AC144" s="257"/>
      <c r="AD144" s="257"/>
    </row>
    <row r="145" spans="1:30" outlineLevel="1">
      <c r="A145" s="13" t="s">
        <v>239</v>
      </c>
      <c r="B145" s="13" t="s">
        <v>192</v>
      </c>
      <c r="C145" s="44"/>
      <c r="D145" s="56">
        <f t="shared" ref="D145:AC145" si="31">IF(D117=0,0,E117/52*D144)</f>
        <v>0</v>
      </c>
      <c r="E145" s="56">
        <f t="shared" si="31"/>
        <v>0</v>
      </c>
      <c r="F145" s="56">
        <f t="shared" si="31"/>
        <v>0.92307692307692313</v>
      </c>
      <c r="G145" s="56">
        <f t="shared" si="31"/>
        <v>0.92307692307692313</v>
      </c>
      <c r="H145" s="56">
        <f t="shared" si="31"/>
        <v>0.92307692307692313</v>
      </c>
      <c r="I145" s="56">
        <f t="shared" si="31"/>
        <v>0.92307692307692313</v>
      </c>
      <c r="J145" s="56">
        <f t="shared" si="31"/>
        <v>0.57692307692307698</v>
      </c>
      <c r="K145" s="56">
        <f t="shared" si="31"/>
        <v>0.34615384615384615</v>
      </c>
      <c r="L145" s="56">
        <f t="shared" si="31"/>
        <v>0.34615384615384615</v>
      </c>
      <c r="M145" s="56">
        <f t="shared" si="31"/>
        <v>0.34615384615384615</v>
      </c>
      <c r="N145" s="56">
        <f t="shared" si="31"/>
        <v>0.34615384615384615</v>
      </c>
      <c r="O145" s="56">
        <f t="shared" si="31"/>
        <v>0.34615384615384615</v>
      </c>
      <c r="P145" s="56">
        <f t="shared" si="31"/>
        <v>0</v>
      </c>
      <c r="Q145" s="56">
        <f t="shared" si="31"/>
        <v>0</v>
      </c>
      <c r="R145" s="56">
        <f t="shared" si="31"/>
        <v>0</v>
      </c>
      <c r="S145" s="56">
        <f t="shared" si="31"/>
        <v>0</v>
      </c>
      <c r="T145" s="56">
        <f t="shared" si="31"/>
        <v>0</v>
      </c>
      <c r="U145" s="56">
        <f t="shared" si="31"/>
        <v>0</v>
      </c>
      <c r="V145" s="56">
        <f t="shared" si="31"/>
        <v>0</v>
      </c>
      <c r="W145" s="56">
        <f t="shared" si="31"/>
        <v>0</v>
      </c>
      <c r="X145" s="56">
        <f t="shared" si="31"/>
        <v>0</v>
      </c>
      <c r="Y145" s="56">
        <f t="shared" si="31"/>
        <v>0</v>
      </c>
      <c r="Z145" s="56">
        <f t="shared" si="31"/>
        <v>0</v>
      </c>
      <c r="AA145" s="56">
        <f t="shared" si="31"/>
        <v>0</v>
      </c>
      <c r="AB145" s="56">
        <f t="shared" si="31"/>
        <v>0</v>
      </c>
      <c r="AC145" s="56">
        <f t="shared" si="31"/>
        <v>0</v>
      </c>
      <c r="AD145" s="56">
        <f>IF(AD117=0,0,#REF!/52*AD144)</f>
        <v>0</v>
      </c>
    </row>
    <row r="146" spans="1:30" outlineLevel="1">
      <c r="A146" s="13" t="s">
        <v>240</v>
      </c>
      <c r="B146" s="13" t="s">
        <v>192</v>
      </c>
      <c r="C146" s="44"/>
      <c r="D146" s="56">
        <f t="shared" ref="D146:AC146" si="32">IF(D130=0,0,E130/52*D144)</f>
        <v>0</v>
      </c>
      <c r="E146" s="56">
        <f t="shared" si="32"/>
        <v>0</v>
      </c>
      <c r="F146" s="56">
        <f t="shared" si="32"/>
        <v>0</v>
      </c>
      <c r="G146" s="56">
        <f t="shared" si="32"/>
        <v>0</v>
      </c>
      <c r="H146" s="56">
        <f t="shared" si="32"/>
        <v>0</v>
      </c>
      <c r="I146" s="56">
        <f t="shared" si="32"/>
        <v>0</v>
      </c>
      <c r="J146" s="56">
        <f t="shared" si="32"/>
        <v>0</v>
      </c>
      <c r="K146" s="56">
        <f t="shared" si="32"/>
        <v>0.57692307692307698</v>
      </c>
      <c r="L146" s="56">
        <f t="shared" si="32"/>
        <v>0.57692307692307698</v>
      </c>
      <c r="M146" s="56">
        <f t="shared" si="32"/>
        <v>0.57692307692307698</v>
      </c>
      <c r="N146" s="56">
        <f t="shared" si="32"/>
        <v>0.57692307692307698</v>
      </c>
      <c r="O146" s="56">
        <f t="shared" si="32"/>
        <v>0.57692307692307698</v>
      </c>
      <c r="P146" s="56">
        <f t="shared" si="32"/>
        <v>0.92307692307692313</v>
      </c>
      <c r="Q146" s="56">
        <f t="shared" si="32"/>
        <v>0.92307692307692313</v>
      </c>
      <c r="R146" s="56">
        <f t="shared" si="32"/>
        <v>0.92307692307692313</v>
      </c>
      <c r="S146" s="56">
        <f t="shared" si="32"/>
        <v>0.92307692307692313</v>
      </c>
      <c r="T146" s="56">
        <f t="shared" si="32"/>
        <v>0</v>
      </c>
      <c r="U146" s="56">
        <f t="shared" si="32"/>
        <v>0</v>
      </c>
      <c r="V146" s="56">
        <f t="shared" si="32"/>
        <v>0</v>
      </c>
      <c r="W146" s="56">
        <f t="shared" si="32"/>
        <v>0</v>
      </c>
      <c r="X146" s="56">
        <f t="shared" si="32"/>
        <v>0</v>
      </c>
      <c r="Y146" s="56">
        <f t="shared" si="32"/>
        <v>0</v>
      </c>
      <c r="Z146" s="56">
        <f t="shared" si="32"/>
        <v>0</v>
      </c>
      <c r="AA146" s="56">
        <f t="shared" si="32"/>
        <v>0</v>
      </c>
      <c r="AB146" s="56">
        <f t="shared" si="32"/>
        <v>0</v>
      </c>
      <c r="AC146" s="56">
        <f t="shared" si="32"/>
        <v>0</v>
      </c>
      <c r="AD146" s="56">
        <f>IF(AD130=0,0,#REF!/52*AD144)</f>
        <v>0</v>
      </c>
    </row>
    <row r="147" spans="1:30" outlineLevel="1">
      <c r="A147" s="90"/>
      <c r="C147" s="88"/>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row>
    <row r="148" spans="1:30" ht="51" customHeight="1">
      <c r="A148" s="23" t="s">
        <v>195</v>
      </c>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row>
    <row r="149" spans="1:30" s="8" customFormat="1" ht="15.5" outlineLevel="1">
      <c r="A149" s="242" t="str">
        <f>'Expected NPV &amp; Common Data'!A$36</f>
        <v>Calendar Year --&gt;</v>
      </c>
      <c r="B149" s="243" t="str">
        <f>'Expected NPV &amp; Common Data'!B$36</f>
        <v>units</v>
      </c>
      <c r="C149" s="244" t="str">
        <f>'Expected NPV &amp; Common Data'!C$36</f>
        <v>Total</v>
      </c>
      <c r="D149" s="245">
        <f>'Expected NPV &amp; Common Data'!D$36</f>
        <v>2027</v>
      </c>
      <c r="E149" s="245">
        <f>'Expected NPV &amp; Common Data'!E$36</f>
        <v>2028</v>
      </c>
      <c r="F149" s="245">
        <f>'Expected NPV &amp; Common Data'!F$36</f>
        <v>2029</v>
      </c>
      <c r="G149" s="245">
        <f>'Expected NPV &amp; Common Data'!G$36</f>
        <v>2030</v>
      </c>
      <c r="H149" s="245">
        <f>'Expected NPV &amp; Common Data'!H$36</f>
        <v>2031</v>
      </c>
      <c r="I149" s="245">
        <f>'Expected NPV &amp; Common Data'!I$36</f>
        <v>2032</v>
      </c>
      <c r="J149" s="245">
        <f>'Expected NPV &amp; Common Data'!J$36</f>
        <v>2033</v>
      </c>
      <c r="K149" s="245">
        <f>'Expected NPV &amp; Common Data'!K$36</f>
        <v>2034</v>
      </c>
      <c r="L149" s="245">
        <f>'Expected NPV &amp; Common Data'!L$36</f>
        <v>2035</v>
      </c>
      <c r="M149" s="245">
        <f>'Expected NPV &amp; Common Data'!M$36</f>
        <v>2036</v>
      </c>
      <c r="N149" s="245">
        <f>'Expected NPV &amp; Common Data'!N$36</f>
        <v>2037</v>
      </c>
      <c r="O149" s="245">
        <f>'Expected NPV &amp; Common Data'!O$36</f>
        <v>2038</v>
      </c>
      <c r="P149" s="245">
        <f>'Expected NPV &amp; Common Data'!P$36</f>
        <v>2039</v>
      </c>
      <c r="Q149" s="245">
        <f>'Expected NPV &amp; Common Data'!Q$36</f>
        <v>2040</v>
      </c>
      <c r="R149" s="245">
        <f>'Expected NPV &amp; Common Data'!R$36</f>
        <v>2041</v>
      </c>
      <c r="S149" s="245">
        <f>'Expected NPV &amp; Common Data'!S$36</f>
        <v>2042</v>
      </c>
      <c r="T149" s="245">
        <f>'Expected NPV &amp; Common Data'!T$36</f>
        <v>2043</v>
      </c>
      <c r="U149" s="245">
        <f>'Expected NPV &amp; Common Data'!U$36</f>
        <v>2044</v>
      </c>
      <c r="V149" s="245">
        <f>'Expected NPV &amp; Common Data'!V$36</f>
        <v>2045</v>
      </c>
      <c r="W149" s="245">
        <f>'Expected NPV &amp; Common Data'!W$36</f>
        <v>2046</v>
      </c>
      <c r="X149" s="245">
        <f>'Expected NPV &amp; Common Data'!X$36</f>
        <v>2047</v>
      </c>
      <c r="Y149" s="245">
        <f>'Expected NPV &amp; Common Data'!Y$36</f>
        <v>2048</v>
      </c>
      <c r="Z149" s="245">
        <f>'Expected NPV &amp; Common Data'!Z$36</f>
        <v>2049</v>
      </c>
      <c r="AA149" s="245">
        <f>'Expected NPV &amp; Common Data'!AA$36</f>
        <v>2050</v>
      </c>
      <c r="AB149" s="245">
        <f>'Expected NPV &amp; Common Data'!AB$36</f>
        <v>2051</v>
      </c>
      <c r="AC149" s="245">
        <f>'Expected NPV &amp; Common Data'!AC$36</f>
        <v>2052</v>
      </c>
      <c r="AD149" s="245">
        <f>'Expected NPV &amp; Common Data'!AD$36</f>
        <v>2053</v>
      </c>
    </row>
    <row r="150" spans="1:30" outlineLevel="1">
      <c r="A150" s="134" t="s">
        <v>546</v>
      </c>
      <c r="C150" s="44"/>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row>
    <row r="151" spans="1:30" outlineLevel="1">
      <c r="A151" s="31" t="s">
        <v>244</v>
      </c>
      <c r="C151" s="42"/>
      <c r="D151" s="13"/>
      <c r="E151" s="13"/>
      <c r="F151" s="13"/>
      <c r="G151" s="13"/>
      <c r="H151" s="13"/>
      <c r="I151" s="42"/>
      <c r="J151" s="42"/>
      <c r="K151" s="42"/>
      <c r="L151" s="42"/>
      <c r="M151" s="42"/>
      <c r="N151" s="42"/>
      <c r="O151" s="42"/>
      <c r="P151" s="42"/>
      <c r="Q151" s="42"/>
      <c r="R151" s="42"/>
      <c r="S151" s="42"/>
      <c r="T151" s="42"/>
      <c r="U151" s="42"/>
      <c r="V151" s="42"/>
      <c r="W151" s="42"/>
      <c r="X151" s="42"/>
      <c r="Y151" s="42"/>
      <c r="Z151" s="42"/>
      <c r="AA151" s="42"/>
      <c r="AB151" s="42"/>
      <c r="AC151" s="42"/>
      <c r="AD151" s="42"/>
    </row>
    <row r="152" spans="1:30" outlineLevel="1">
      <c r="A152" s="13" t="s">
        <v>242</v>
      </c>
      <c r="B152" s="13" t="s">
        <v>192</v>
      </c>
      <c r="C152" s="44">
        <f>SUM(D152:AD152)</f>
        <v>58</v>
      </c>
      <c r="D152" s="42"/>
      <c r="E152" s="42"/>
      <c r="F152" s="56">
        <f t="shared" ref="F152:AD152" si="33">E145+F117-F145</f>
        <v>5.0769230769230766</v>
      </c>
      <c r="G152" s="56">
        <f t="shared" si="33"/>
        <v>8</v>
      </c>
      <c r="H152" s="56">
        <f t="shared" si="33"/>
        <v>8</v>
      </c>
      <c r="I152" s="56">
        <f t="shared" si="33"/>
        <v>8</v>
      </c>
      <c r="J152" s="56">
        <f t="shared" si="33"/>
        <v>8.3461538461538467</v>
      </c>
      <c r="K152" s="56">
        <f t="shared" si="33"/>
        <v>5.2307692307692308</v>
      </c>
      <c r="L152" s="56">
        <f t="shared" si="33"/>
        <v>3</v>
      </c>
      <c r="M152" s="56">
        <f t="shared" si="33"/>
        <v>3</v>
      </c>
      <c r="N152" s="56">
        <f t="shared" si="33"/>
        <v>3</v>
      </c>
      <c r="O152" s="56">
        <f t="shared" si="33"/>
        <v>3</v>
      </c>
      <c r="P152" s="56">
        <f t="shared" si="33"/>
        <v>3.3461538461538463</v>
      </c>
      <c r="Q152" s="56">
        <f t="shared" si="33"/>
        <v>0</v>
      </c>
      <c r="R152" s="56">
        <f t="shared" si="33"/>
        <v>0</v>
      </c>
      <c r="S152" s="56">
        <f t="shared" si="33"/>
        <v>0</v>
      </c>
      <c r="T152" s="56">
        <f t="shared" si="33"/>
        <v>0</v>
      </c>
      <c r="U152" s="56">
        <f t="shared" si="33"/>
        <v>0</v>
      </c>
      <c r="V152" s="56">
        <f t="shared" si="33"/>
        <v>0</v>
      </c>
      <c r="W152" s="56">
        <f t="shared" si="33"/>
        <v>0</v>
      </c>
      <c r="X152" s="56">
        <f t="shared" si="33"/>
        <v>0</v>
      </c>
      <c r="Y152" s="56">
        <f t="shared" si="33"/>
        <v>0</v>
      </c>
      <c r="Z152" s="56">
        <f t="shared" si="33"/>
        <v>0</v>
      </c>
      <c r="AA152" s="56">
        <f t="shared" si="33"/>
        <v>0</v>
      </c>
      <c r="AB152" s="56">
        <f t="shared" si="33"/>
        <v>0</v>
      </c>
      <c r="AC152" s="56">
        <f t="shared" si="33"/>
        <v>0</v>
      </c>
      <c r="AD152" s="56">
        <f t="shared" si="33"/>
        <v>0</v>
      </c>
    </row>
    <row r="153" spans="1:30" outlineLevel="1">
      <c r="A153" s="13" t="s">
        <v>243</v>
      </c>
      <c r="B153" s="13" t="s">
        <v>192</v>
      </c>
      <c r="C153" s="44">
        <f>SUM(D153:AD153)</f>
        <v>60</v>
      </c>
      <c r="D153" s="42"/>
      <c r="E153" s="42"/>
      <c r="F153" s="56">
        <f t="shared" ref="F153:AD153" si="34">E146+F130-F146</f>
        <v>0</v>
      </c>
      <c r="G153" s="56">
        <f t="shared" si="34"/>
        <v>0</v>
      </c>
      <c r="H153" s="56">
        <f t="shared" si="34"/>
        <v>0</v>
      </c>
      <c r="I153" s="56">
        <f t="shared" si="34"/>
        <v>0</v>
      </c>
      <c r="J153" s="56">
        <f t="shared" si="34"/>
        <v>0</v>
      </c>
      <c r="K153" s="56">
        <f t="shared" si="34"/>
        <v>2.4230769230769229</v>
      </c>
      <c r="L153" s="56">
        <f t="shared" si="34"/>
        <v>5</v>
      </c>
      <c r="M153" s="56">
        <f t="shared" si="34"/>
        <v>5</v>
      </c>
      <c r="N153" s="56">
        <f t="shared" si="34"/>
        <v>5</v>
      </c>
      <c r="O153" s="56">
        <f t="shared" si="34"/>
        <v>5</v>
      </c>
      <c r="P153" s="56">
        <f t="shared" si="34"/>
        <v>4.6538461538461533</v>
      </c>
      <c r="Q153" s="56">
        <f t="shared" si="34"/>
        <v>8</v>
      </c>
      <c r="R153" s="56">
        <f t="shared" si="34"/>
        <v>8</v>
      </c>
      <c r="S153" s="56">
        <f t="shared" si="34"/>
        <v>8</v>
      </c>
      <c r="T153" s="56">
        <f t="shared" si="34"/>
        <v>8.9230769230769234</v>
      </c>
      <c r="U153" s="56">
        <f t="shared" si="34"/>
        <v>0</v>
      </c>
      <c r="V153" s="56">
        <f t="shared" si="34"/>
        <v>0</v>
      </c>
      <c r="W153" s="56">
        <f t="shared" si="34"/>
        <v>0</v>
      </c>
      <c r="X153" s="56">
        <f t="shared" si="34"/>
        <v>0</v>
      </c>
      <c r="Y153" s="56">
        <f t="shared" si="34"/>
        <v>0</v>
      </c>
      <c r="Z153" s="56">
        <f t="shared" si="34"/>
        <v>0</v>
      </c>
      <c r="AA153" s="56">
        <f t="shared" si="34"/>
        <v>0</v>
      </c>
      <c r="AB153" s="56">
        <f t="shared" si="34"/>
        <v>0</v>
      </c>
      <c r="AC153" s="56">
        <f t="shared" si="34"/>
        <v>0</v>
      </c>
      <c r="AD153" s="56">
        <f t="shared" si="34"/>
        <v>0</v>
      </c>
    </row>
    <row r="154" spans="1:30" outlineLevel="1">
      <c r="A154" s="13" t="s">
        <v>241</v>
      </c>
      <c r="B154" s="13" t="s">
        <v>192</v>
      </c>
      <c r="C154" s="44">
        <f>SUM(D154:AD154)</f>
        <v>117.99999999999999</v>
      </c>
      <c r="D154" s="70"/>
      <c r="E154" s="70"/>
      <c r="F154" s="101">
        <f t="shared" ref="F154:AD154" si="35">F152+F153</f>
        <v>5.0769230769230766</v>
      </c>
      <c r="G154" s="101">
        <f t="shared" si="35"/>
        <v>8</v>
      </c>
      <c r="H154" s="101">
        <f t="shared" si="35"/>
        <v>8</v>
      </c>
      <c r="I154" s="101">
        <f t="shared" si="35"/>
        <v>8</v>
      </c>
      <c r="J154" s="101">
        <f t="shared" si="35"/>
        <v>8.3461538461538467</v>
      </c>
      <c r="K154" s="101">
        <f t="shared" si="35"/>
        <v>7.6538461538461533</v>
      </c>
      <c r="L154" s="101">
        <f t="shared" si="35"/>
        <v>8</v>
      </c>
      <c r="M154" s="101">
        <f t="shared" si="35"/>
        <v>8</v>
      </c>
      <c r="N154" s="101">
        <f t="shared" si="35"/>
        <v>8</v>
      </c>
      <c r="O154" s="101">
        <f t="shared" si="35"/>
        <v>8</v>
      </c>
      <c r="P154" s="101">
        <f t="shared" si="35"/>
        <v>8</v>
      </c>
      <c r="Q154" s="101">
        <f t="shared" si="35"/>
        <v>8</v>
      </c>
      <c r="R154" s="101">
        <f t="shared" si="35"/>
        <v>8</v>
      </c>
      <c r="S154" s="101">
        <f t="shared" si="35"/>
        <v>8</v>
      </c>
      <c r="T154" s="101">
        <f t="shared" si="35"/>
        <v>8.9230769230769234</v>
      </c>
      <c r="U154" s="101">
        <f t="shared" si="35"/>
        <v>0</v>
      </c>
      <c r="V154" s="101">
        <f t="shared" si="35"/>
        <v>0</v>
      </c>
      <c r="W154" s="101">
        <f t="shared" si="35"/>
        <v>0</v>
      </c>
      <c r="X154" s="101">
        <f t="shared" si="35"/>
        <v>0</v>
      </c>
      <c r="Y154" s="101">
        <f t="shared" si="35"/>
        <v>0</v>
      </c>
      <c r="Z154" s="101">
        <f t="shared" si="35"/>
        <v>0</v>
      </c>
      <c r="AA154" s="101">
        <f t="shared" si="35"/>
        <v>0</v>
      </c>
      <c r="AB154" s="101">
        <f t="shared" si="35"/>
        <v>0</v>
      </c>
      <c r="AC154" s="101">
        <f t="shared" si="35"/>
        <v>0</v>
      </c>
      <c r="AD154" s="101">
        <f t="shared" si="35"/>
        <v>0</v>
      </c>
    </row>
    <row r="155" spans="1:30" outlineLevel="1">
      <c r="C155" s="44"/>
      <c r="D155" s="42"/>
      <c r="E155" s="42"/>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row>
    <row r="156" spans="1:30" outlineLevel="1">
      <c r="A156" s="13" t="s">
        <v>249</v>
      </c>
      <c r="B156" s="13" t="s">
        <v>35</v>
      </c>
      <c r="C156" s="46">
        <f t="shared" ref="C156:AD156" si="36">IF(C154=0,0,(C152*C118+C153*C131)/C154)</f>
        <v>9.1932203389830519E-3</v>
      </c>
      <c r="D156" s="46">
        <f t="shared" si="36"/>
        <v>0</v>
      </c>
      <c r="E156" s="46">
        <f t="shared" si="36"/>
        <v>0</v>
      </c>
      <c r="F156" s="46">
        <f t="shared" si="36"/>
        <v>9.5999999999999992E-3</v>
      </c>
      <c r="G156" s="46">
        <f t="shared" si="36"/>
        <v>9.5999999999999992E-3</v>
      </c>
      <c r="H156" s="46">
        <f t="shared" si="36"/>
        <v>9.5999999999999992E-3</v>
      </c>
      <c r="I156" s="46">
        <f t="shared" si="36"/>
        <v>9.5999999999999992E-3</v>
      </c>
      <c r="J156" s="46">
        <f t="shared" si="36"/>
        <v>9.5999999999999992E-3</v>
      </c>
      <c r="K156" s="46">
        <f t="shared" si="36"/>
        <v>9.3467336683417095E-3</v>
      </c>
      <c r="L156" s="46">
        <f t="shared" si="36"/>
        <v>9.1000000000000004E-3</v>
      </c>
      <c r="M156" s="46">
        <f t="shared" si="36"/>
        <v>9.1000000000000004E-3</v>
      </c>
      <c r="N156" s="46">
        <f t="shared" si="36"/>
        <v>9.1000000000000004E-3</v>
      </c>
      <c r="O156" s="46">
        <f t="shared" si="36"/>
        <v>9.1000000000000004E-3</v>
      </c>
      <c r="P156" s="46">
        <f t="shared" si="36"/>
        <v>9.1346153846153834E-3</v>
      </c>
      <c r="Q156" s="46">
        <f t="shared" si="36"/>
        <v>8.8000000000000005E-3</v>
      </c>
      <c r="R156" s="46">
        <f t="shared" si="36"/>
        <v>8.8000000000000005E-3</v>
      </c>
      <c r="S156" s="46">
        <f t="shared" si="36"/>
        <v>8.8000000000000005E-3</v>
      </c>
      <c r="T156" s="46">
        <f t="shared" si="36"/>
        <v>8.8000000000000005E-3</v>
      </c>
      <c r="U156" s="46">
        <f t="shared" si="36"/>
        <v>0</v>
      </c>
      <c r="V156" s="46">
        <f t="shared" si="36"/>
        <v>0</v>
      </c>
      <c r="W156" s="46">
        <f t="shared" si="36"/>
        <v>0</v>
      </c>
      <c r="X156" s="46">
        <f t="shared" si="36"/>
        <v>0</v>
      </c>
      <c r="Y156" s="46">
        <f t="shared" si="36"/>
        <v>0</v>
      </c>
      <c r="Z156" s="46">
        <f t="shared" si="36"/>
        <v>0</v>
      </c>
      <c r="AA156" s="46">
        <f t="shared" si="36"/>
        <v>0</v>
      </c>
      <c r="AB156" s="46">
        <f t="shared" si="36"/>
        <v>0</v>
      </c>
      <c r="AC156" s="46">
        <f t="shared" si="36"/>
        <v>0</v>
      </c>
      <c r="AD156" s="46">
        <f t="shared" si="36"/>
        <v>0</v>
      </c>
    </row>
    <row r="157" spans="1:30" outlineLevel="1">
      <c r="A157" s="13" t="s">
        <v>250</v>
      </c>
      <c r="B157" s="13" t="s">
        <v>217</v>
      </c>
      <c r="C157" s="56">
        <f t="shared" ref="C157:AD157" si="37">IF(C154=0,0,(C119*C152+C132*C153)/C154)</f>
        <v>0.13969608416130919</v>
      </c>
      <c r="D157" s="56">
        <f t="shared" si="37"/>
        <v>0</v>
      </c>
      <c r="E157" s="56">
        <f t="shared" si="37"/>
        <v>0</v>
      </c>
      <c r="F157" s="56">
        <f t="shared" si="37"/>
        <v>0.22</v>
      </c>
      <c r="G157" s="56">
        <f t="shared" si="37"/>
        <v>0.22</v>
      </c>
      <c r="H157" s="56">
        <f t="shared" si="37"/>
        <v>0.22</v>
      </c>
      <c r="I157" s="56">
        <f t="shared" si="37"/>
        <v>0.22</v>
      </c>
      <c r="J157" s="56">
        <f t="shared" si="37"/>
        <v>0.22</v>
      </c>
      <c r="K157" s="56">
        <f t="shared" si="37"/>
        <v>0.20733668341708544</v>
      </c>
      <c r="L157" s="56">
        <f t="shared" si="37"/>
        <v>0.19500000000000001</v>
      </c>
      <c r="M157" s="56">
        <f t="shared" si="37"/>
        <v>0.19500000000000001</v>
      </c>
      <c r="N157" s="56">
        <f t="shared" si="37"/>
        <v>0.19500000000000001</v>
      </c>
      <c r="O157" s="56">
        <f t="shared" si="37"/>
        <v>0.19500000000000001</v>
      </c>
      <c r="P157" s="56">
        <f t="shared" si="37"/>
        <v>0.19673076923076921</v>
      </c>
      <c r="Q157" s="56">
        <f t="shared" si="37"/>
        <v>0.18</v>
      </c>
      <c r="R157" s="56">
        <f t="shared" si="37"/>
        <v>0.18</v>
      </c>
      <c r="S157" s="56">
        <f t="shared" si="37"/>
        <v>0.18</v>
      </c>
      <c r="T157" s="56">
        <f t="shared" si="37"/>
        <v>0.18</v>
      </c>
      <c r="U157" s="56">
        <f t="shared" si="37"/>
        <v>0</v>
      </c>
      <c r="V157" s="56">
        <f t="shared" si="37"/>
        <v>0</v>
      </c>
      <c r="W157" s="56">
        <f t="shared" si="37"/>
        <v>0</v>
      </c>
      <c r="X157" s="56">
        <f t="shared" si="37"/>
        <v>0</v>
      </c>
      <c r="Y157" s="56">
        <f t="shared" si="37"/>
        <v>0</v>
      </c>
      <c r="Z157" s="56">
        <f t="shared" si="37"/>
        <v>0</v>
      </c>
      <c r="AA157" s="56">
        <f t="shared" si="37"/>
        <v>0</v>
      </c>
      <c r="AB157" s="56">
        <f t="shared" si="37"/>
        <v>0</v>
      </c>
      <c r="AC157" s="56">
        <f t="shared" si="37"/>
        <v>0</v>
      </c>
      <c r="AD157" s="56">
        <f t="shared" si="37"/>
        <v>0</v>
      </c>
    </row>
    <row r="158" spans="1:30" outlineLevel="1">
      <c r="A158" s="13" t="s">
        <v>251</v>
      </c>
      <c r="B158" s="13" t="s">
        <v>253</v>
      </c>
      <c r="C158" s="56">
        <f t="shared" ref="C158:AD158" si="38">IF(C154=0,0,C120*C152/C154)</f>
        <v>0.98305084745762727</v>
      </c>
      <c r="D158" s="56">
        <f t="shared" si="38"/>
        <v>0</v>
      </c>
      <c r="E158" s="56">
        <f t="shared" si="38"/>
        <v>0</v>
      </c>
      <c r="F158" s="56">
        <f t="shared" si="38"/>
        <v>2</v>
      </c>
      <c r="G158" s="56">
        <f t="shared" si="38"/>
        <v>2</v>
      </c>
      <c r="H158" s="56">
        <f t="shared" si="38"/>
        <v>2</v>
      </c>
      <c r="I158" s="56">
        <f t="shared" si="38"/>
        <v>2</v>
      </c>
      <c r="J158" s="56">
        <f t="shared" si="38"/>
        <v>2</v>
      </c>
      <c r="K158" s="56">
        <f t="shared" si="38"/>
        <v>1.3668341708542715</v>
      </c>
      <c r="L158" s="56">
        <f t="shared" si="38"/>
        <v>0.75</v>
      </c>
      <c r="M158" s="56">
        <f t="shared" si="38"/>
        <v>0.75</v>
      </c>
      <c r="N158" s="56">
        <f t="shared" si="38"/>
        <v>0.75</v>
      </c>
      <c r="O158" s="56">
        <f t="shared" si="38"/>
        <v>0.75</v>
      </c>
      <c r="P158" s="56">
        <f t="shared" si="38"/>
        <v>0.83653846153846156</v>
      </c>
      <c r="Q158" s="56">
        <f t="shared" si="38"/>
        <v>0</v>
      </c>
      <c r="R158" s="56">
        <f t="shared" si="38"/>
        <v>0</v>
      </c>
      <c r="S158" s="56">
        <f t="shared" si="38"/>
        <v>0</v>
      </c>
      <c r="T158" s="56">
        <f t="shared" si="38"/>
        <v>0</v>
      </c>
      <c r="U158" s="56">
        <f t="shared" si="38"/>
        <v>0</v>
      </c>
      <c r="V158" s="56">
        <f t="shared" si="38"/>
        <v>0</v>
      </c>
      <c r="W158" s="56">
        <f t="shared" si="38"/>
        <v>0</v>
      </c>
      <c r="X158" s="56">
        <f t="shared" si="38"/>
        <v>0</v>
      </c>
      <c r="Y158" s="56">
        <f t="shared" si="38"/>
        <v>0</v>
      </c>
      <c r="Z158" s="56">
        <f t="shared" si="38"/>
        <v>0</v>
      </c>
      <c r="AA158" s="56">
        <f t="shared" si="38"/>
        <v>0</v>
      </c>
      <c r="AB158" s="56">
        <f t="shared" si="38"/>
        <v>0</v>
      </c>
      <c r="AC158" s="56">
        <f t="shared" si="38"/>
        <v>0</v>
      </c>
      <c r="AD158" s="56">
        <f t="shared" si="38"/>
        <v>0</v>
      </c>
    </row>
    <row r="159" spans="1:30" outlineLevel="1">
      <c r="A159" s="13" t="s">
        <v>252</v>
      </c>
      <c r="B159" s="13" t="s">
        <v>99</v>
      </c>
      <c r="C159" s="46">
        <f t="shared" ref="C159:AD159" si="39">IF(C154=0,0,C121*C152/C154)</f>
        <v>4.4237288135593221E-4</v>
      </c>
      <c r="D159" s="46">
        <f t="shared" si="39"/>
        <v>0</v>
      </c>
      <c r="E159" s="46">
        <f t="shared" si="39"/>
        <v>0</v>
      </c>
      <c r="F159" s="46">
        <f t="shared" si="39"/>
        <v>8.9999999999999998E-4</v>
      </c>
      <c r="G159" s="46">
        <f t="shared" si="39"/>
        <v>8.9999999999999998E-4</v>
      </c>
      <c r="H159" s="46">
        <f t="shared" si="39"/>
        <v>8.9999999999999998E-4</v>
      </c>
      <c r="I159" s="46">
        <f t="shared" si="39"/>
        <v>8.9999999999999998E-4</v>
      </c>
      <c r="J159" s="46">
        <f t="shared" si="39"/>
        <v>8.9999999999999998E-4</v>
      </c>
      <c r="K159" s="46">
        <f t="shared" si="39"/>
        <v>6.1507537688442219E-4</v>
      </c>
      <c r="L159" s="46">
        <f t="shared" si="39"/>
        <v>3.3750000000000002E-4</v>
      </c>
      <c r="M159" s="46">
        <f t="shared" si="39"/>
        <v>3.3750000000000002E-4</v>
      </c>
      <c r="N159" s="46">
        <f t="shared" si="39"/>
        <v>3.3750000000000002E-4</v>
      </c>
      <c r="O159" s="46">
        <f t="shared" si="39"/>
        <v>3.3750000000000002E-4</v>
      </c>
      <c r="P159" s="46">
        <f t="shared" si="39"/>
        <v>3.7644230769230772E-4</v>
      </c>
      <c r="Q159" s="46">
        <f t="shared" si="39"/>
        <v>0</v>
      </c>
      <c r="R159" s="46">
        <f t="shared" si="39"/>
        <v>0</v>
      </c>
      <c r="S159" s="46">
        <f t="shared" si="39"/>
        <v>0</v>
      </c>
      <c r="T159" s="46">
        <f t="shared" si="39"/>
        <v>0</v>
      </c>
      <c r="U159" s="46">
        <f t="shared" si="39"/>
        <v>0</v>
      </c>
      <c r="V159" s="46">
        <f t="shared" si="39"/>
        <v>0</v>
      </c>
      <c r="W159" s="46">
        <f t="shared" si="39"/>
        <v>0</v>
      </c>
      <c r="X159" s="46">
        <f t="shared" si="39"/>
        <v>0</v>
      </c>
      <c r="Y159" s="46">
        <f t="shared" si="39"/>
        <v>0</v>
      </c>
      <c r="Z159" s="46">
        <f t="shared" si="39"/>
        <v>0</v>
      </c>
      <c r="AA159" s="46">
        <f t="shared" si="39"/>
        <v>0</v>
      </c>
      <c r="AB159" s="46">
        <f t="shared" si="39"/>
        <v>0</v>
      </c>
      <c r="AC159" s="46">
        <f t="shared" si="39"/>
        <v>0</v>
      </c>
      <c r="AD159" s="46">
        <f t="shared" si="39"/>
        <v>0</v>
      </c>
    </row>
    <row r="160" spans="1:30" outlineLevel="1">
      <c r="C160" s="44"/>
      <c r="D160" s="42"/>
      <c r="E160" s="42"/>
      <c r="F160" s="42"/>
      <c r="G160" s="79"/>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row>
    <row r="161" spans="1:30" ht="15.5" outlineLevel="1">
      <c r="A161" s="24" t="s">
        <v>196</v>
      </c>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row>
    <row r="162" spans="1:30" outlineLevel="1">
      <c r="A162" s="214" t="s">
        <v>40</v>
      </c>
      <c r="B162" s="214" t="s">
        <v>35</v>
      </c>
      <c r="C162" s="258">
        <f>SUMPRODUCT(D154:AD154*D162:AD162)/C154</f>
        <v>0.88000000000000034</v>
      </c>
      <c r="D162" s="220">
        <v>0.88</v>
      </c>
      <c r="E162" s="220">
        <f t="shared" ref="E162:AD162" si="40">D162</f>
        <v>0.88</v>
      </c>
      <c r="F162" s="220">
        <f t="shared" si="40"/>
        <v>0.88</v>
      </c>
      <c r="G162" s="220">
        <f t="shared" si="40"/>
        <v>0.88</v>
      </c>
      <c r="H162" s="220">
        <f t="shared" si="40"/>
        <v>0.88</v>
      </c>
      <c r="I162" s="220">
        <f t="shared" si="40"/>
        <v>0.88</v>
      </c>
      <c r="J162" s="220">
        <f t="shared" si="40"/>
        <v>0.88</v>
      </c>
      <c r="K162" s="220">
        <f t="shared" si="40"/>
        <v>0.88</v>
      </c>
      <c r="L162" s="220">
        <f t="shared" si="40"/>
        <v>0.88</v>
      </c>
      <c r="M162" s="220">
        <f t="shared" si="40"/>
        <v>0.88</v>
      </c>
      <c r="N162" s="220">
        <f t="shared" si="40"/>
        <v>0.88</v>
      </c>
      <c r="O162" s="220">
        <f t="shared" si="40"/>
        <v>0.88</v>
      </c>
      <c r="P162" s="220">
        <f t="shared" si="40"/>
        <v>0.88</v>
      </c>
      <c r="Q162" s="220">
        <f t="shared" si="40"/>
        <v>0.88</v>
      </c>
      <c r="R162" s="220">
        <f t="shared" si="40"/>
        <v>0.88</v>
      </c>
      <c r="S162" s="220">
        <f t="shared" si="40"/>
        <v>0.88</v>
      </c>
      <c r="T162" s="220">
        <f t="shared" si="40"/>
        <v>0.88</v>
      </c>
      <c r="U162" s="220">
        <f t="shared" si="40"/>
        <v>0.88</v>
      </c>
      <c r="V162" s="220">
        <f t="shared" si="40"/>
        <v>0.88</v>
      </c>
      <c r="W162" s="220">
        <f t="shared" si="40"/>
        <v>0.88</v>
      </c>
      <c r="X162" s="220">
        <f t="shared" si="40"/>
        <v>0.88</v>
      </c>
      <c r="Y162" s="220">
        <f t="shared" si="40"/>
        <v>0.88</v>
      </c>
      <c r="Z162" s="220">
        <f t="shared" si="40"/>
        <v>0.88</v>
      </c>
      <c r="AA162" s="220">
        <f t="shared" si="40"/>
        <v>0.88</v>
      </c>
      <c r="AB162" s="220">
        <f t="shared" si="40"/>
        <v>0.88</v>
      </c>
      <c r="AC162" s="220">
        <f t="shared" si="40"/>
        <v>0.88</v>
      </c>
      <c r="AD162" s="220">
        <f t="shared" si="40"/>
        <v>0.88</v>
      </c>
    </row>
    <row r="163" spans="1:30" outlineLevel="1">
      <c r="A163" s="214" t="s">
        <v>41</v>
      </c>
      <c r="B163" s="214" t="s">
        <v>43</v>
      </c>
      <c r="C163" s="258">
        <f>SUMPRODUCT(D154:AD154*D163:AD163)/C154</f>
        <v>0.7699999999999998</v>
      </c>
      <c r="D163" s="220">
        <v>0.77</v>
      </c>
      <c r="E163" s="220">
        <f t="shared" ref="E163:AD163" si="41">D163</f>
        <v>0.77</v>
      </c>
      <c r="F163" s="220">
        <f t="shared" si="41"/>
        <v>0.77</v>
      </c>
      <c r="G163" s="220">
        <f t="shared" si="41"/>
        <v>0.77</v>
      </c>
      <c r="H163" s="220">
        <f t="shared" si="41"/>
        <v>0.77</v>
      </c>
      <c r="I163" s="220">
        <f t="shared" si="41"/>
        <v>0.77</v>
      </c>
      <c r="J163" s="220">
        <f t="shared" si="41"/>
        <v>0.77</v>
      </c>
      <c r="K163" s="220">
        <f t="shared" si="41"/>
        <v>0.77</v>
      </c>
      <c r="L163" s="220">
        <f t="shared" si="41"/>
        <v>0.77</v>
      </c>
      <c r="M163" s="220">
        <f t="shared" si="41"/>
        <v>0.77</v>
      </c>
      <c r="N163" s="220">
        <f t="shared" si="41"/>
        <v>0.77</v>
      </c>
      <c r="O163" s="220">
        <f t="shared" si="41"/>
        <v>0.77</v>
      </c>
      <c r="P163" s="220">
        <f t="shared" si="41"/>
        <v>0.77</v>
      </c>
      <c r="Q163" s="220">
        <f t="shared" si="41"/>
        <v>0.77</v>
      </c>
      <c r="R163" s="220">
        <f t="shared" si="41"/>
        <v>0.77</v>
      </c>
      <c r="S163" s="220">
        <f t="shared" si="41"/>
        <v>0.77</v>
      </c>
      <c r="T163" s="220">
        <f t="shared" si="41"/>
        <v>0.77</v>
      </c>
      <c r="U163" s="220">
        <f t="shared" si="41"/>
        <v>0.77</v>
      </c>
      <c r="V163" s="220">
        <f t="shared" si="41"/>
        <v>0.77</v>
      </c>
      <c r="W163" s="220">
        <f t="shared" si="41"/>
        <v>0.77</v>
      </c>
      <c r="X163" s="220">
        <f t="shared" si="41"/>
        <v>0.77</v>
      </c>
      <c r="Y163" s="220">
        <f t="shared" si="41"/>
        <v>0.77</v>
      </c>
      <c r="Z163" s="220">
        <f t="shared" si="41"/>
        <v>0.77</v>
      </c>
      <c r="AA163" s="220">
        <f t="shared" si="41"/>
        <v>0.77</v>
      </c>
      <c r="AB163" s="220">
        <f t="shared" si="41"/>
        <v>0.77</v>
      </c>
      <c r="AC163" s="220">
        <f t="shared" si="41"/>
        <v>0.77</v>
      </c>
      <c r="AD163" s="220">
        <f t="shared" si="41"/>
        <v>0.77</v>
      </c>
    </row>
    <row r="164" spans="1:30" outlineLevel="1">
      <c r="A164" s="214" t="s">
        <v>42</v>
      </c>
      <c r="B164" s="214" t="s">
        <v>193</v>
      </c>
      <c r="C164" s="258">
        <f>SUMPRODUCT(D154:AD154*D164:AD164)/C154</f>
        <v>0.65000000000000024</v>
      </c>
      <c r="D164" s="220">
        <v>0.65</v>
      </c>
      <c r="E164" s="220">
        <f t="shared" ref="E164:AD164" si="42">D164</f>
        <v>0.65</v>
      </c>
      <c r="F164" s="220">
        <f t="shared" si="42"/>
        <v>0.65</v>
      </c>
      <c r="G164" s="220">
        <f t="shared" si="42"/>
        <v>0.65</v>
      </c>
      <c r="H164" s="220">
        <f t="shared" si="42"/>
        <v>0.65</v>
      </c>
      <c r="I164" s="220">
        <f t="shared" si="42"/>
        <v>0.65</v>
      </c>
      <c r="J164" s="220">
        <f t="shared" si="42"/>
        <v>0.65</v>
      </c>
      <c r="K164" s="220">
        <f t="shared" si="42"/>
        <v>0.65</v>
      </c>
      <c r="L164" s="220">
        <f t="shared" si="42"/>
        <v>0.65</v>
      </c>
      <c r="M164" s="220">
        <f t="shared" si="42"/>
        <v>0.65</v>
      </c>
      <c r="N164" s="220">
        <f t="shared" si="42"/>
        <v>0.65</v>
      </c>
      <c r="O164" s="220">
        <f t="shared" si="42"/>
        <v>0.65</v>
      </c>
      <c r="P164" s="220">
        <f t="shared" si="42"/>
        <v>0.65</v>
      </c>
      <c r="Q164" s="220">
        <f t="shared" si="42"/>
        <v>0.65</v>
      </c>
      <c r="R164" s="220">
        <f t="shared" si="42"/>
        <v>0.65</v>
      </c>
      <c r="S164" s="220">
        <f t="shared" si="42"/>
        <v>0.65</v>
      </c>
      <c r="T164" s="220">
        <f t="shared" si="42"/>
        <v>0.65</v>
      </c>
      <c r="U164" s="220">
        <f t="shared" si="42"/>
        <v>0.65</v>
      </c>
      <c r="V164" s="220">
        <f t="shared" si="42"/>
        <v>0.65</v>
      </c>
      <c r="W164" s="220">
        <f t="shared" si="42"/>
        <v>0.65</v>
      </c>
      <c r="X164" s="220">
        <f t="shared" si="42"/>
        <v>0.65</v>
      </c>
      <c r="Y164" s="220">
        <f t="shared" si="42"/>
        <v>0.65</v>
      </c>
      <c r="Z164" s="220">
        <f t="shared" si="42"/>
        <v>0.65</v>
      </c>
      <c r="AA164" s="220">
        <f t="shared" si="42"/>
        <v>0.65</v>
      </c>
      <c r="AB164" s="220">
        <f t="shared" si="42"/>
        <v>0.65</v>
      </c>
      <c r="AC164" s="220">
        <f t="shared" si="42"/>
        <v>0.65</v>
      </c>
      <c r="AD164" s="220">
        <f t="shared" si="42"/>
        <v>0.65</v>
      </c>
    </row>
    <row r="165" spans="1:30" outlineLevel="1">
      <c r="A165" s="214" t="s">
        <v>103</v>
      </c>
      <c r="B165" s="214" t="s">
        <v>35</v>
      </c>
      <c r="C165" s="258">
        <f>SUMPRODUCT(D166:AD166*D165:AD165)/C166</f>
        <v>0.30999999999999994</v>
      </c>
      <c r="D165" s="220">
        <v>0.31</v>
      </c>
      <c r="E165" s="220">
        <f t="shared" ref="E165:AD165" si="43">D165</f>
        <v>0.31</v>
      </c>
      <c r="F165" s="220">
        <f t="shared" si="43"/>
        <v>0.31</v>
      </c>
      <c r="G165" s="220">
        <f t="shared" si="43"/>
        <v>0.31</v>
      </c>
      <c r="H165" s="220">
        <f t="shared" si="43"/>
        <v>0.31</v>
      </c>
      <c r="I165" s="220">
        <f t="shared" si="43"/>
        <v>0.31</v>
      </c>
      <c r="J165" s="220">
        <f t="shared" si="43"/>
        <v>0.31</v>
      </c>
      <c r="K165" s="220">
        <f t="shared" si="43"/>
        <v>0.31</v>
      </c>
      <c r="L165" s="220">
        <f t="shared" si="43"/>
        <v>0.31</v>
      </c>
      <c r="M165" s="220">
        <f t="shared" si="43"/>
        <v>0.31</v>
      </c>
      <c r="N165" s="220">
        <f t="shared" si="43"/>
        <v>0.31</v>
      </c>
      <c r="O165" s="220">
        <f t="shared" si="43"/>
        <v>0.31</v>
      </c>
      <c r="P165" s="220">
        <f t="shared" si="43"/>
        <v>0.31</v>
      </c>
      <c r="Q165" s="220">
        <f t="shared" si="43"/>
        <v>0.31</v>
      </c>
      <c r="R165" s="220">
        <f t="shared" si="43"/>
        <v>0.31</v>
      </c>
      <c r="S165" s="220">
        <f t="shared" si="43"/>
        <v>0.31</v>
      </c>
      <c r="T165" s="220">
        <f t="shared" si="43"/>
        <v>0.31</v>
      </c>
      <c r="U165" s="220">
        <f t="shared" si="43"/>
        <v>0.31</v>
      </c>
      <c r="V165" s="220">
        <f t="shared" si="43"/>
        <v>0.31</v>
      </c>
      <c r="W165" s="220">
        <f t="shared" si="43"/>
        <v>0.31</v>
      </c>
      <c r="X165" s="220">
        <f t="shared" si="43"/>
        <v>0.31</v>
      </c>
      <c r="Y165" s="220">
        <f t="shared" si="43"/>
        <v>0.31</v>
      </c>
      <c r="Z165" s="220">
        <f t="shared" si="43"/>
        <v>0.31</v>
      </c>
      <c r="AA165" s="220">
        <f t="shared" si="43"/>
        <v>0.31</v>
      </c>
      <c r="AB165" s="220">
        <f t="shared" si="43"/>
        <v>0.31</v>
      </c>
      <c r="AC165" s="220">
        <f t="shared" si="43"/>
        <v>0.31</v>
      </c>
      <c r="AD165" s="220">
        <f t="shared" si="43"/>
        <v>0.31</v>
      </c>
    </row>
    <row r="166" spans="1:30" s="14" customFormat="1" outlineLevel="1">
      <c r="A166" s="14" t="s">
        <v>89</v>
      </c>
      <c r="B166" s="13" t="s">
        <v>26</v>
      </c>
      <c r="C166" s="44">
        <f>SUM(D166:AD166)</f>
        <v>3079.4322580645162</v>
      </c>
      <c r="D166" s="48">
        <f t="shared" ref="D166:AD166" si="44">D154*D156*D162/D165*1000</f>
        <v>0</v>
      </c>
      <c r="E166" s="48">
        <f t="shared" si="44"/>
        <v>0</v>
      </c>
      <c r="F166" s="48">
        <f t="shared" si="44"/>
        <v>138.35434243176175</v>
      </c>
      <c r="G166" s="48">
        <f t="shared" si="44"/>
        <v>218.01290322580644</v>
      </c>
      <c r="H166" s="48">
        <f t="shared" si="44"/>
        <v>218.01290322580644</v>
      </c>
      <c r="I166" s="48">
        <f t="shared" si="44"/>
        <v>218.01290322580644</v>
      </c>
      <c r="J166" s="48">
        <f t="shared" si="44"/>
        <v>227.44615384615383</v>
      </c>
      <c r="K166" s="48">
        <f t="shared" si="44"/>
        <v>203.07692307692307</v>
      </c>
      <c r="L166" s="48">
        <f t="shared" si="44"/>
        <v>206.65806451612906</v>
      </c>
      <c r="M166" s="48">
        <f t="shared" si="44"/>
        <v>206.65806451612906</v>
      </c>
      <c r="N166" s="48">
        <f t="shared" si="44"/>
        <v>206.65806451612906</v>
      </c>
      <c r="O166" s="48">
        <f t="shared" si="44"/>
        <v>206.65806451612906</v>
      </c>
      <c r="P166" s="48">
        <f t="shared" si="44"/>
        <v>207.44416873449129</v>
      </c>
      <c r="Q166" s="48">
        <f t="shared" si="44"/>
        <v>199.84516129032258</v>
      </c>
      <c r="R166" s="48">
        <f t="shared" si="44"/>
        <v>199.84516129032258</v>
      </c>
      <c r="S166" s="48">
        <f t="shared" si="44"/>
        <v>199.84516129032258</v>
      </c>
      <c r="T166" s="48">
        <f t="shared" si="44"/>
        <v>222.90421836228288</v>
      </c>
      <c r="U166" s="48">
        <f t="shared" si="44"/>
        <v>0</v>
      </c>
      <c r="V166" s="48">
        <f t="shared" si="44"/>
        <v>0</v>
      </c>
      <c r="W166" s="48">
        <f t="shared" si="44"/>
        <v>0</v>
      </c>
      <c r="X166" s="48">
        <f t="shared" si="44"/>
        <v>0</v>
      </c>
      <c r="Y166" s="48">
        <f t="shared" si="44"/>
        <v>0</v>
      </c>
      <c r="Z166" s="48">
        <f t="shared" si="44"/>
        <v>0</v>
      </c>
      <c r="AA166" s="48">
        <f t="shared" si="44"/>
        <v>0</v>
      </c>
      <c r="AB166" s="48">
        <f t="shared" si="44"/>
        <v>0</v>
      </c>
      <c r="AC166" s="48">
        <f t="shared" si="44"/>
        <v>0</v>
      </c>
      <c r="AD166" s="48">
        <f t="shared" si="44"/>
        <v>0</v>
      </c>
    </row>
    <row r="167" spans="1:30" outlineLevel="1">
      <c r="A167" s="13" t="s">
        <v>101</v>
      </c>
      <c r="B167" s="13" t="s">
        <v>36</v>
      </c>
      <c r="C167" s="56">
        <f>IF(C166=0,0,C154*C157*C163/C166)*1000</f>
        <v>4.1217942605024911</v>
      </c>
      <c r="D167" s="56">
        <f t="shared" ref="D167:AD167" si="45">IF(D166=0,0,D154*D157*D163/D166)*1000</f>
        <v>0</v>
      </c>
      <c r="E167" s="56">
        <f t="shared" si="45"/>
        <v>0</v>
      </c>
      <c r="F167" s="56">
        <f t="shared" si="45"/>
        <v>6.2161458333333348</v>
      </c>
      <c r="G167" s="56">
        <f t="shared" si="45"/>
        <v>6.216145833333333</v>
      </c>
      <c r="H167" s="56">
        <f t="shared" si="45"/>
        <v>6.216145833333333</v>
      </c>
      <c r="I167" s="56">
        <f t="shared" si="45"/>
        <v>6.216145833333333</v>
      </c>
      <c r="J167" s="56">
        <f t="shared" si="45"/>
        <v>6.2161458333333339</v>
      </c>
      <c r="K167" s="56">
        <f t="shared" si="45"/>
        <v>6.0170833333333338</v>
      </c>
      <c r="L167" s="56">
        <f t="shared" si="45"/>
        <v>5.8124999999999991</v>
      </c>
      <c r="M167" s="56">
        <f t="shared" si="45"/>
        <v>5.8124999999999991</v>
      </c>
      <c r="N167" s="56">
        <f t="shared" si="45"/>
        <v>5.8124999999999991</v>
      </c>
      <c r="O167" s="56">
        <f t="shared" si="45"/>
        <v>5.8124999999999991</v>
      </c>
      <c r="P167" s="56">
        <f t="shared" si="45"/>
        <v>5.8418684210526317</v>
      </c>
      <c r="Q167" s="56">
        <f t="shared" si="45"/>
        <v>5.5482954545454541</v>
      </c>
      <c r="R167" s="56">
        <f t="shared" si="45"/>
        <v>5.5482954545454541</v>
      </c>
      <c r="S167" s="56">
        <f t="shared" si="45"/>
        <v>5.5482954545454541</v>
      </c>
      <c r="T167" s="56">
        <f t="shared" si="45"/>
        <v>5.548295454545455</v>
      </c>
      <c r="U167" s="56">
        <f t="shared" si="45"/>
        <v>0</v>
      </c>
      <c r="V167" s="56">
        <f t="shared" si="45"/>
        <v>0</v>
      </c>
      <c r="W167" s="56">
        <f t="shared" si="45"/>
        <v>0</v>
      </c>
      <c r="X167" s="56">
        <f t="shared" si="45"/>
        <v>0</v>
      </c>
      <c r="Y167" s="56">
        <f t="shared" si="45"/>
        <v>0</v>
      </c>
      <c r="Z167" s="56">
        <f t="shared" si="45"/>
        <v>0</v>
      </c>
      <c r="AA167" s="56">
        <f t="shared" si="45"/>
        <v>0</v>
      </c>
      <c r="AB167" s="56">
        <f t="shared" si="45"/>
        <v>0</v>
      </c>
      <c r="AC167" s="56">
        <f t="shared" si="45"/>
        <v>0</v>
      </c>
      <c r="AD167" s="56">
        <f t="shared" si="45"/>
        <v>0</v>
      </c>
    </row>
    <row r="168" spans="1:30" outlineLevel="1">
      <c r="A168" s="13" t="s">
        <v>106</v>
      </c>
      <c r="B168" s="13" t="s">
        <v>37</v>
      </c>
      <c r="C168" s="42">
        <f>IF(C166=0,0,C154*C158*C164/C166)*1000</f>
        <v>24.485032850630205</v>
      </c>
      <c r="D168" s="42">
        <f t="shared" ref="D168:AD168" si="46">IF(D166=0,0,D154*D158*D164/D166)*1000</f>
        <v>0</v>
      </c>
      <c r="E168" s="42">
        <f t="shared" si="46"/>
        <v>0</v>
      </c>
      <c r="F168" s="42">
        <f t="shared" si="46"/>
        <v>47.703598484848492</v>
      </c>
      <c r="G168" s="42">
        <f t="shared" si="46"/>
        <v>47.703598484848484</v>
      </c>
      <c r="H168" s="42">
        <f t="shared" si="46"/>
        <v>47.703598484848484</v>
      </c>
      <c r="I168" s="42">
        <f t="shared" si="46"/>
        <v>47.703598484848484</v>
      </c>
      <c r="J168" s="42">
        <f t="shared" si="46"/>
        <v>47.703598484848492</v>
      </c>
      <c r="K168" s="42">
        <f t="shared" si="46"/>
        <v>33.484848484848492</v>
      </c>
      <c r="L168" s="42">
        <f t="shared" si="46"/>
        <v>18.871753246753244</v>
      </c>
      <c r="M168" s="42">
        <f t="shared" si="46"/>
        <v>18.871753246753244</v>
      </c>
      <c r="N168" s="42">
        <f t="shared" si="46"/>
        <v>18.871753246753244</v>
      </c>
      <c r="O168" s="42">
        <f t="shared" si="46"/>
        <v>18.871753246753244</v>
      </c>
      <c r="P168" s="42">
        <f t="shared" si="46"/>
        <v>20.969497607655509</v>
      </c>
      <c r="Q168" s="42">
        <f t="shared" si="46"/>
        <v>0</v>
      </c>
      <c r="R168" s="42">
        <f t="shared" si="46"/>
        <v>0</v>
      </c>
      <c r="S168" s="42">
        <f t="shared" si="46"/>
        <v>0</v>
      </c>
      <c r="T168" s="42">
        <f t="shared" si="46"/>
        <v>0</v>
      </c>
      <c r="U168" s="42">
        <f t="shared" si="46"/>
        <v>0</v>
      </c>
      <c r="V168" s="42">
        <f t="shared" si="46"/>
        <v>0</v>
      </c>
      <c r="W168" s="42">
        <f t="shared" si="46"/>
        <v>0</v>
      </c>
      <c r="X168" s="42">
        <f t="shared" si="46"/>
        <v>0</v>
      </c>
      <c r="Y168" s="42">
        <f t="shared" si="46"/>
        <v>0</v>
      </c>
      <c r="Z168" s="42">
        <f t="shared" si="46"/>
        <v>0</v>
      </c>
      <c r="AA168" s="42">
        <f t="shared" si="46"/>
        <v>0</v>
      </c>
      <c r="AB168" s="42">
        <f t="shared" si="46"/>
        <v>0</v>
      </c>
      <c r="AC168" s="42">
        <f t="shared" si="46"/>
        <v>0</v>
      </c>
      <c r="AD168" s="42">
        <f t="shared" si="46"/>
        <v>0</v>
      </c>
    </row>
    <row r="169" spans="1:30" outlineLevel="1">
      <c r="A169" s="5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row>
    <row r="170" spans="1:30" outlineLevel="1">
      <c r="A170" s="13" t="s">
        <v>522</v>
      </c>
      <c r="B170" s="13" t="s">
        <v>75</v>
      </c>
      <c r="C170" s="44">
        <f>SUM(D170:AD170)</f>
        <v>954.6239999999998</v>
      </c>
      <c r="D170" s="42">
        <f t="shared" ref="D170:AD170" si="47">D165*D166</f>
        <v>0</v>
      </c>
      <c r="E170" s="42">
        <f t="shared" si="47"/>
        <v>0</v>
      </c>
      <c r="F170" s="42">
        <f t="shared" si="47"/>
        <v>42.889846153846143</v>
      </c>
      <c r="G170" s="42">
        <f t="shared" si="47"/>
        <v>67.583999999999989</v>
      </c>
      <c r="H170" s="42">
        <f t="shared" si="47"/>
        <v>67.583999999999989</v>
      </c>
      <c r="I170" s="42">
        <f t="shared" si="47"/>
        <v>67.583999999999989</v>
      </c>
      <c r="J170" s="42">
        <f t="shared" si="47"/>
        <v>70.508307692307682</v>
      </c>
      <c r="K170" s="42">
        <f t="shared" si="47"/>
        <v>62.95384615384615</v>
      </c>
      <c r="L170" s="42">
        <f t="shared" si="47"/>
        <v>64.064000000000007</v>
      </c>
      <c r="M170" s="42">
        <f t="shared" si="47"/>
        <v>64.064000000000007</v>
      </c>
      <c r="N170" s="42">
        <f t="shared" si="47"/>
        <v>64.064000000000007</v>
      </c>
      <c r="O170" s="42">
        <f t="shared" si="47"/>
        <v>64.064000000000007</v>
      </c>
      <c r="P170" s="42">
        <f t="shared" si="47"/>
        <v>64.307692307692292</v>
      </c>
      <c r="Q170" s="42">
        <f t="shared" si="47"/>
        <v>61.951999999999998</v>
      </c>
      <c r="R170" s="42">
        <f t="shared" si="47"/>
        <v>61.951999999999998</v>
      </c>
      <c r="S170" s="42">
        <f t="shared" si="47"/>
        <v>61.951999999999998</v>
      </c>
      <c r="T170" s="42">
        <f t="shared" si="47"/>
        <v>69.100307692307695</v>
      </c>
      <c r="U170" s="42">
        <f t="shared" si="47"/>
        <v>0</v>
      </c>
      <c r="V170" s="42">
        <f t="shared" si="47"/>
        <v>0</v>
      </c>
      <c r="W170" s="42">
        <f t="shared" si="47"/>
        <v>0</v>
      </c>
      <c r="X170" s="42">
        <f t="shared" si="47"/>
        <v>0</v>
      </c>
      <c r="Y170" s="42">
        <f t="shared" si="47"/>
        <v>0</v>
      </c>
      <c r="Z170" s="42">
        <f t="shared" si="47"/>
        <v>0</v>
      </c>
      <c r="AA170" s="42">
        <f t="shared" si="47"/>
        <v>0</v>
      </c>
      <c r="AB170" s="42">
        <f t="shared" si="47"/>
        <v>0</v>
      </c>
      <c r="AC170" s="42">
        <f t="shared" si="47"/>
        <v>0</v>
      </c>
      <c r="AD170" s="42">
        <f t="shared" si="47"/>
        <v>0</v>
      </c>
    </row>
    <row r="171" spans="1:30" outlineLevel="1">
      <c r="A171" s="13" t="s">
        <v>107</v>
      </c>
      <c r="B171" s="13" t="s">
        <v>254</v>
      </c>
      <c r="C171" s="44">
        <f>SUM(D171:AD171)</f>
        <v>583.31832797427637</v>
      </c>
      <c r="D171" s="42">
        <f t="shared" ref="D171:AD171" si="48">D166*D167/31.1</f>
        <v>0</v>
      </c>
      <c r="E171" s="42">
        <f t="shared" si="48"/>
        <v>0</v>
      </c>
      <c r="F171" s="42">
        <f t="shared" si="48"/>
        <v>27.653722483304477</v>
      </c>
      <c r="G171" s="42">
        <f t="shared" si="48"/>
        <v>43.575562700964625</v>
      </c>
      <c r="H171" s="42">
        <f t="shared" si="48"/>
        <v>43.575562700964625</v>
      </c>
      <c r="I171" s="42">
        <f t="shared" si="48"/>
        <v>43.575562700964625</v>
      </c>
      <c r="J171" s="42">
        <f t="shared" si="48"/>
        <v>45.461043779371757</v>
      </c>
      <c r="K171" s="42">
        <f t="shared" si="48"/>
        <v>39.290378431857533</v>
      </c>
      <c r="L171" s="42">
        <f t="shared" si="48"/>
        <v>38.623794212218648</v>
      </c>
      <c r="M171" s="42">
        <f t="shared" si="48"/>
        <v>38.623794212218648</v>
      </c>
      <c r="N171" s="42">
        <f t="shared" si="48"/>
        <v>38.623794212218648</v>
      </c>
      <c r="O171" s="42">
        <f t="shared" si="48"/>
        <v>38.623794212218648</v>
      </c>
      <c r="P171" s="42">
        <f t="shared" si="48"/>
        <v>38.966608953747205</v>
      </c>
      <c r="Q171" s="42">
        <f t="shared" si="48"/>
        <v>35.652733118971057</v>
      </c>
      <c r="R171" s="42">
        <f t="shared" si="48"/>
        <v>35.652733118971057</v>
      </c>
      <c r="S171" s="42">
        <f t="shared" si="48"/>
        <v>35.652733118971057</v>
      </c>
      <c r="T171" s="42">
        <f t="shared" si="48"/>
        <v>39.766510017313877</v>
      </c>
      <c r="U171" s="42">
        <f t="shared" si="48"/>
        <v>0</v>
      </c>
      <c r="V171" s="42">
        <f t="shared" si="48"/>
        <v>0</v>
      </c>
      <c r="W171" s="42">
        <f t="shared" si="48"/>
        <v>0</v>
      </c>
      <c r="X171" s="42">
        <f t="shared" si="48"/>
        <v>0</v>
      </c>
      <c r="Y171" s="42">
        <f t="shared" si="48"/>
        <v>0</v>
      </c>
      <c r="Z171" s="42">
        <f t="shared" si="48"/>
        <v>0</v>
      </c>
      <c r="AA171" s="42">
        <f t="shared" si="48"/>
        <v>0</v>
      </c>
      <c r="AB171" s="42">
        <f t="shared" si="48"/>
        <v>0</v>
      </c>
      <c r="AC171" s="42">
        <f t="shared" si="48"/>
        <v>0</v>
      </c>
      <c r="AD171" s="42">
        <f t="shared" si="48"/>
        <v>0</v>
      </c>
    </row>
    <row r="172" spans="1:30" outlineLevel="1">
      <c r="A172" s="13" t="s">
        <v>108</v>
      </c>
      <c r="B172" s="13" t="s">
        <v>255</v>
      </c>
      <c r="C172" s="44">
        <f>SUM(D172:AD172)</f>
        <v>2424.43729903537</v>
      </c>
      <c r="D172" s="42">
        <f t="shared" ref="D172:AD172" si="49">D166*D168/31.1</f>
        <v>0</v>
      </c>
      <c r="E172" s="42">
        <f t="shared" si="49"/>
        <v>0</v>
      </c>
      <c r="F172" s="42">
        <f t="shared" si="49"/>
        <v>212.21864951768484</v>
      </c>
      <c r="G172" s="42">
        <f t="shared" si="49"/>
        <v>334.40514469453376</v>
      </c>
      <c r="H172" s="42">
        <f t="shared" si="49"/>
        <v>334.40514469453376</v>
      </c>
      <c r="I172" s="42">
        <f t="shared" si="49"/>
        <v>334.40514469453376</v>
      </c>
      <c r="J172" s="42">
        <f t="shared" si="49"/>
        <v>348.87459807073958</v>
      </c>
      <c r="K172" s="42">
        <f t="shared" si="49"/>
        <v>218.64951768488748</v>
      </c>
      <c r="L172" s="42">
        <f t="shared" si="49"/>
        <v>125.40192926045016</v>
      </c>
      <c r="M172" s="42">
        <f t="shared" si="49"/>
        <v>125.40192926045016</v>
      </c>
      <c r="N172" s="42">
        <f t="shared" si="49"/>
        <v>125.40192926045016</v>
      </c>
      <c r="O172" s="42">
        <f t="shared" si="49"/>
        <v>125.40192926045016</v>
      </c>
      <c r="P172" s="42">
        <f t="shared" si="49"/>
        <v>139.87138263665597</v>
      </c>
      <c r="Q172" s="42">
        <f t="shared" si="49"/>
        <v>0</v>
      </c>
      <c r="R172" s="42">
        <f t="shared" si="49"/>
        <v>0</v>
      </c>
      <c r="S172" s="42">
        <f t="shared" si="49"/>
        <v>0</v>
      </c>
      <c r="T172" s="42">
        <f t="shared" si="49"/>
        <v>0</v>
      </c>
      <c r="U172" s="42">
        <f t="shared" si="49"/>
        <v>0</v>
      </c>
      <c r="V172" s="42">
        <f t="shared" si="49"/>
        <v>0</v>
      </c>
      <c r="W172" s="42">
        <f t="shared" si="49"/>
        <v>0</v>
      </c>
      <c r="X172" s="42">
        <f t="shared" si="49"/>
        <v>0</v>
      </c>
      <c r="Y172" s="42">
        <f t="shared" si="49"/>
        <v>0</v>
      </c>
      <c r="Z172" s="42">
        <f t="shared" si="49"/>
        <v>0</v>
      </c>
      <c r="AA172" s="42">
        <f t="shared" si="49"/>
        <v>0</v>
      </c>
      <c r="AB172" s="42">
        <f t="shared" si="49"/>
        <v>0</v>
      </c>
      <c r="AC172" s="42">
        <f t="shared" si="49"/>
        <v>0</v>
      </c>
      <c r="AD172" s="42">
        <f t="shared" si="49"/>
        <v>0</v>
      </c>
    </row>
    <row r="173" spans="1:30" outlineLevel="1">
      <c r="C173" s="44"/>
      <c r="D173" s="42"/>
      <c r="E173" s="42"/>
      <c r="F173" s="42"/>
      <c r="G173" s="79"/>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row>
    <row r="174" spans="1:30" ht="33" customHeight="1" outlineLevel="1">
      <c r="A174" s="24" t="s">
        <v>197</v>
      </c>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row>
    <row r="175" spans="1:30" outlineLevel="1">
      <c r="A175" s="134" t="s">
        <v>546</v>
      </c>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row>
    <row r="176" spans="1:30" outlineLevel="1">
      <c r="A176" s="214" t="s">
        <v>102</v>
      </c>
      <c r="B176" s="214" t="s">
        <v>99</v>
      </c>
      <c r="C176" s="258">
        <f>SUMPRODUCT(D154:AD154*D176:AD176)/C154</f>
        <v>0.70000000000000007</v>
      </c>
      <c r="D176" s="217">
        <v>0.7</v>
      </c>
      <c r="E176" s="217">
        <f t="shared" ref="E176:AD176" si="50">D176</f>
        <v>0.7</v>
      </c>
      <c r="F176" s="217">
        <f t="shared" si="50"/>
        <v>0.7</v>
      </c>
      <c r="G176" s="217">
        <f t="shared" si="50"/>
        <v>0.7</v>
      </c>
      <c r="H176" s="217">
        <f t="shared" si="50"/>
        <v>0.7</v>
      </c>
      <c r="I176" s="217">
        <f t="shared" si="50"/>
        <v>0.7</v>
      </c>
      <c r="J176" s="217">
        <f t="shared" si="50"/>
        <v>0.7</v>
      </c>
      <c r="K176" s="217">
        <f t="shared" si="50"/>
        <v>0.7</v>
      </c>
      <c r="L176" s="217">
        <f t="shared" si="50"/>
        <v>0.7</v>
      </c>
      <c r="M176" s="217">
        <f t="shared" si="50"/>
        <v>0.7</v>
      </c>
      <c r="N176" s="217">
        <f t="shared" si="50"/>
        <v>0.7</v>
      </c>
      <c r="O176" s="217">
        <f t="shared" si="50"/>
        <v>0.7</v>
      </c>
      <c r="P176" s="217">
        <f t="shared" si="50"/>
        <v>0.7</v>
      </c>
      <c r="Q176" s="217">
        <f t="shared" si="50"/>
        <v>0.7</v>
      </c>
      <c r="R176" s="217">
        <f t="shared" si="50"/>
        <v>0.7</v>
      </c>
      <c r="S176" s="217">
        <f t="shared" si="50"/>
        <v>0.7</v>
      </c>
      <c r="T176" s="217">
        <f t="shared" si="50"/>
        <v>0.7</v>
      </c>
      <c r="U176" s="217">
        <f t="shared" si="50"/>
        <v>0.7</v>
      </c>
      <c r="V176" s="217">
        <f t="shared" si="50"/>
        <v>0.7</v>
      </c>
      <c r="W176" s="217">
        <f t="shared" si="50"/>
        <v>0.7</v>
      </c>
      <c r="X176" s="217">
        <f t="shared" si="50"/>
        <v>0.7</v>
      </c>
      <c r="Y176" s="217">
        <f t="shared" si="50"/>
        <v>0.7</v>
      </c>
      <c r="Z176" s="217">
        <f t="shared" si="50"/>
        <v>0.7</v>
      </c>
      <c r="AA176" s="217">
        <f t="shared" si="50"/>
        <v>0.7</v>
      </c>
      <c r="AB176" s="217">
        <f t="shared" si="50"/>
        <v>0.7</v>
      </c>
      <c r="AC176" s="217">
        <f t="shared" si="50"/>
        <v>0.7</v>
      </c>
      <c r="AD176" s="217">
        <f t="shared" si="50"/>
        <v>0.7</v>
      </c>
    </row>
    <row r="177" spans="1:30" outlineLevel="1">
      <c r="A177" s="214" t="s">
        <v>104</v>
      </c>
      <c r="B177" s="214" t="s">
        <v>99</v>
      </c>
      <c r="C177" s="258">
        <f>SUMPRODUCT(D178:AD178*D177:AD177)/C178</f>
        <v>0.54999999999999993</v>
      </c>
      <c r="D177" s="217">
        <v>0.55000000000000004</v>
      </c>
      <c r="E177" s="217">
        <f t="shared" ref="E177:AD177" si="51">D177</f>
        <v>0.55000000000000004</v>
      </c>
      <c r="F177" s="217">
        <f t="shared" si="51"/>
        <v>0.55000000000000004</v>
      </c>
      <c r="G177" s="217">
        <f t="shared" si="51"/>
        <v>0.55000000000000004</v>
      </c>
      <c r="H177" s="217">
        <f t="shared" si="51"/>
        <v>0.55000000000000004</v>
      </c>
      <c r="I177" s="217">
        <f t="shared" si="51"/>
        <v>0.55000000000000004</v>
      </c>
      <c r="J177" s="217">
        <f t="shared" si="51"/>
        <v>0.55000000000000004</v>
      </c>
      <c r="K177" s="217">
        <f t="shared" si="51"/>
        <v>0.55000000000000004</v>
      </c>
      <c r="L177" s="217">
        <f t="shared" si="51"/>
        <v>0.55000000000000004</v>
      </c>
      <c r="M177" s="217">
        <f t="shared" si="51"/>
        <v>0.55000000000000004</v>
      </c>
      <c r="N177" s="217">
        <f t="shared" si="51"/>
        <v>0.55000000000000004</v>
      </c>
      <c r="O177" s="217">
        <f t="shared" si="51"/>
        <v>0.55000000000000004</v>
      </c>
      <c r="P177" s="217">
        <f t="shared" si="51"/>
        <v>0.55000000000000004</v>
      </c>
      <c r="Q177" s="217">
        <f t="shared" si="51"/>
        <v>0.55000000000000004</v>
      </c>
      <c r="R177" s="217">
        <f t="shared" si="51"/>
        <v>0.55000000000000004</v>
      </c>
      <c r="S177" s="217">
        <f t="shared" si="51"/>
        <v>0.55000000000000004</v>
      </c>
      <c r="T177" s="217">
        <f t="shared" si="51"/>
        <v>0.55000000000000004</v>
      </c>
      <c r="U177" s="217">
        <f t="shared" si="51"/>
        <v>0.55000000000000004</v>
      </c>
      <c r="V177" s="217">
        <f t="shared" si="51"/>
        <v>0.55000000000000004</v>
      </c>
      <c r="W177" s="217">
        <f t="shared" si="51"/>
        <v>0.55000000000000004</v>
      </c>
      <c r="X177" s="217">
        <f t="shared" si="51"/>
        <v>0.55000000000000004</v>
      </c>
      <c r="Y177" s="217">
        <f t="shared" si="51"/>
        <v>0.55000000000000004</v>
      </c>
      <c r="Z177" s="217">
        <f t="shared" si="51"/>
        <v>0.55000000000000004</v>
      </c>
      <c r="AA177" s="217">
        <f t="shared" si="51"/>
        <v>0.55000000000000004</v>
      </c>
      <c r="AB177" s="217">
        <f t="shared" si="51"/>
        <v>0.55000000000000004</v>
      </c>
      <c r="AC177" s="217">
        <f t="shared" si="51"/>
        <v>0.55000000000000004</v>
      </c>
      <c r="AD177" s="217">
        <f t="shared" si="51"/>
        <v>0.55000000000000004</v>
      </c>
    </row>
    <row r="178" spans="1:30" s="14" customFormat="1" outlineLevel="1">
      <c r="A178" s="14" t="s">
        <v>105</v>
      </c>
      <c r="B178" s="13" t="s">
        <v>26</v>
      </c>
      <c r="C178" s="44">
        <f>SUM(D178:AD178)</f>
        <v>66.436363636363637</v>
      </c>
      <c r="D178" s="80">
        <f t="shared" ref="D178:AD178" si="52">D154*D159*D176/D177*1000</f>
        <v>0</v>
      </c>
      <c r="E178" s="80">
        <f t="shared" si="52"/>
        <v>0</v>
      </c>
      <c r="F178" s="80">
        <f t="shared" si="52"/>
        <v>5.8153846153846134</v>
      </c>
      <c r="G178" s="80">
        <f t="shared" si="52"/>
        <v>9.1636363636363622</v>
      </c>
      <c r="H178" s="80">
        <f t="shared" si="52"/>
        <v>9.1636363636363622</v>
      </c>
      <c r="I178" s="80">
        <f t="shared" si="52"/>
        <v>9.1636363636363622</v>
      </c>
      <c r="J178" s="80">
        <f t="shared" si="52"/>
        <v>9.5601398601398593</v>
      </c>
      <c r="K178" s="80">
        <f t="shared" si="52"/>
        <v>5.9916083916083913</v>
      </c>
      <c r="L178" s="80">
        <f t="shared" si="52"/>
        <v>3.4363636363636356</v>
      </c>
      <c r="M178" s="80">
        <f t="shared" si="52"/>
        <v>3.4363636363636356</v>
      </c>
      <c r="N178" s="80">
        <f t="shared" si="52"/>
        <v>3.4363636363636356</v>
      </c>
      <c r="O178" s="80">
        <f t="shared" si="52"/>
        <v>3.4363636363636356</v>
      </c>
      <c r="P178" s="80">
        <f t="shared" si="52"/>
        <v>3.8328671328671327</v>
      </c>
      <c r="Q178" s="80">
        <f t="shared" si="52"/>
        <v>0</v>
      </c>
      <c r="R178" s="80">
        <f t="shared" si="52"/>
        <v>0</v>
      </c>
      <c r="S178" s="80">
        <f t="shared" si="52"/>
        <v>0</v>
      </c>
      <c r="T178" s="80">
        <f t="shared" si="52"/>
        <v>0</v>
      </c>
      <c r="U178" s="80">
        <f t="shared" si="52"/>
        <v>0</v>
      </c>
      <c r="V178" s="80">
        <f t="shared" si="52"/>
        <v>0</v>
      </c>
      <c r="W178" s="80">
        <f t="shared" si="52"/>
        <v>0</v>
      </c>
      <c r="X178" s="80">
        <f t="shared" si="52"/>
        <v>0</v>
      </c>
      <c r="Y178" s="80">
        <f t="shared" si="52"/>
        <v>0</v>
      </c>
      <c r="Z178" s="80">
        <f t="shared" si="52"/>
        <v>0</v>
      </c>
      <c r="AA178" s="80">
        <f t="shared" si="52"/>
        <v>0</v>
      </c>
      <c r="AB178" s="80">
        <f t="shared" si="52"/>
        <v>0</v>
      </c>
      <c r="AC178" s="80">
        <f t="shared" si="52"/>
        <v>0</v>
      </c>
      <c r="AD178" s="80">
        <f t="shared" si="52"/>
        <v>0</v>
      </c>
    </row>
    <row r="179" spans="1:30" outlineLevel="1">
      <c r="A179" s="13" t="s">
        <v>523</v>
      </c>
      <c r="B179" s="13" t="s">
        <v>109</v>
      </c>
      <c r="C179" s="44">
        <f>SUM(D179:AD179)</f>
        <v>36.54</v>
      </c>
      <c r="D179" s="56">
        <f t="shared" ref="D179:AD179" si="53">D177*D178</f>
        <v>0</v>
      </c>
      <c r="E179" s="56">
        <f t="shared" si="53"/>
        <v>0</v>
      </c>
      <c r="F179" s="56">
        <f t="shared" si="53"/>
        <v>3.1984615384615376</v>
      </c>
      <c r="G179" s="56">
        <f t="shared" si="53"/>
        <v>5.04</v>
      </c>
      <c r="H179" s="56">
        <f t="shared" si="53"/>
        <v>5.04</v>
      </c>
      <c r="I179" s="56">
        <f t="shared" si="53"/>
        <v>5.04</v>
      </c>
      <c r="J179" s="56">
        <f t="shared" si="53"/>
        <v>5.2580769230769233</v>
      </c>
      <c r="K179" s="56">
        <f t="shared" si="53"/>
        <v>3.2953846153846156</v>
      </c>
      <c r="L179" s="56">
        <f t="shared" si="53"/>
        <v>1.8899999999999997</v>
      </c>
      <c r="M179" s="56">
        <f t="shared" si="53"/>
        <v>1.8899999999999997</v>
      </c>
      <c r="N179" s="56">
        <f t="shared" si="53"/>
        <v>1.8899999999999997</v>
      </c>
      <c r="O179" s="56">
        <f t="shared" si="53"/>
        <v>1.8899999999999997</v>
      </c>
      <c r="P179" s="56">
        <f t="shared" si="53"/>
        <v>2.108076923076923</v>
      </c>
      <c r="Q179" s="56">
        <f t="shared" si="53"/>
        <v>0</v>
      </c>
      <c r="R179" s="56">
        <f t="shared" si="53"/>
        <v>0</v>
      </c>
      <c r="S179" s="56">
        <f t="shared" si="53"/>
        <v>0</v>
      </c>
      <c r="T179" s="56">
        <f t="shared" si="53"/>
        <v>0</v>
      </c>
      <c r="U179" s="56">
        <f t="shared" si="53"/>
        <v>0</v>
      </c>
      <c r="V179" s="56">
        <f t="shared" si="53"/>
        <v>0</v>
      </c>
      <c r="W179" s="56">
        <f t="shared" si="53"/>
        <v>0</v>
      </c>
      <c r="X179" s="56">
        <f t="shared" si="53"/>
        <v>0</v>
      </c>
      <c r="Y179" s="56">
        <f t="shared" si="53"/>
        <v>0</v>
      </c>
      <c r="Z179" s="56">
        <f t="shared" si="53"/>
        <v>0</v>
      </c>
      <c r="AA179" s="56">
        <f t="shared" si="53"/>
        <v>0</v>
      </c>
      <c r="AB179" s="56">
        <f t="shared" si="53"/>
        <v>0</v>
      </c>
      <c r="AC179" s="56">
        <f t="shared" si="53"/>
        <v>0</v>
      </c>
      <c r="AD179" s="56">
        <f t="shared" si="53"/>
        <v>0</v>
      </c>
    </row>
    <row r="180" spans="1:30" ht="33" customHeight="1" outlineLevel="1">
      <c r="A180" s="24" t="s">
        <v>257</v>
      </c>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row>
    <row r="181" spans="1:30" outlineLevel="1">
      <c r="A181" s="13" t="str">
        <f>A170</f>
        <v>copper conc - contained copper - mid case</v>
      </c>
      <c r="B181" s="13" t="s">
        <v>82</v>
      </c>
      <c r="C181" s="44">
        <f>SUM(D181:AD181)</f>
        <v>8418.2562815999991</v>
      </c>
      <c r="D181" s="42">
        <f t="shared" ref="D181:AD181" si="54">D170*D100*2.2046</f>
        <v>0</v>
      </c>
      <c r="E181" s="42">
        <f t="shared" si="54"/>
        <v>0</v>
      </c>
      <c r="F181" s="42">
        <f t="shared" si="54"/>
        <v>378.21981932307688</v>
      </c>
      <c r="G181" s="42">
        <f t="shared" si="54"/>
        <v>595.98274559999993</v>
      </c>
      <c r="H181" s="42">
        <f t="shared" si="54"/>
        <v>595.98274559999993</v>
      </c>
      <c r="I181" s="42">
        <f t="shared" si="54"/>
        <v>595.98274559999993</v>
      </c>
      <c r="J181" s="42">
        <f t="shared" si="54"/>
        <v>621.77046055384608</v>
      </c>
      <c r="K181" s="42">
        <f t="shared" si="54"/>
        <v>555.15219692307687</v>
      </c>
      <c r="L181" s="42">
        <f t="shared" si="54"/>
        <v>564.94197760000009</v>
      </c>
      <c r="M181" s="42">
        <f t="shared" si="54"/>
        <v>564.94197760000009</v>
      </c>
      <c r="N181" s="42">
        <f t="shared" si="54"/>
        <v>564.94197760000009</v>
      </c>
      <c r="O181" s="42">
        <f t="shared" si="54"/>
        <v>564.94197760000009</v>
      </c>
      <c r="P181" s="42">
        <f t="shared" si="54"/>
        <v>567.09095384615375</v>
      </c>
      <c r="Q181" s="42">
        <f t="shared" si="54"/>
        <v>546.31751680000002</v>
      </c>
      <c r="R181" s="42">
        <f t="shared" si="54"/>
        <v>546.31751680000002</v>
      </c>
      <c r="S181" s="42">
        <f t="shared" si="54"/>
        <v>546.31751680000002</v>
      </c>
      <c r="T181" s="42">
        <f t="shared" si="54"/>
        <v>609.35415335384619</v>
      </c>
      <c r="U181" s="42">
        <f t="shared" si="54"/>
        <v>0</v>
      </c>
      <c r="V181" s="42">
        <f t="shared" si="54"/>
        <v>0</v>
      </c>
      <c r="W181" s="42">
        <f t="shared" si="54"/>
        <v>0</v>
      </c>
      <c r="X181" s="42">
        <f t="shared" si="54"/>
        <v>0</v>
      </c>
      <c r="Y181" s="42">
        <f t="shared" si="54"/>
        <v>0</v>
      </c>
      <c r="Z181" s="42">
        <f t="shared" si="54"/>
        <v>0</v>
      </c>
      <c r="AA181" s="42">
        <f t="shared" si="54"/>
        <v>0</v>
      </c>
      <c r="AB181" s="42">
        <f t="shared" si="54"/>
        <v>0</v>
      </c>
      <c r="AC181" s="42">
        <f t="shared" si="54"/>
        <v>0</v>
      </c>
      <c r="AD181" s="42">
        <f t="shared" si="54"/>
        <v>0</v>
      </c>
    </row>
    <row r="182" spans="1:30" outlineLevel="1">
      <c r="A182" s="13" t="str">
        <f>A171</f>
        <v>copper conc - contained gold</v>
      </c>
      <c r="B182" s="13" t="s">
        <v>82</v>
      </c>
      <c r="C182" s="44">
        <f>SUM(D182:AD182)</f>
        <v>1166.6366559485527</v>
      </c>
      <c r="D182" s="42">
        <f t="shared" ref="D182:AD182" si="55">D171*D101/1000</f>
        <v>0</v>
      </c>
      <c r="E182" s="42">
        <f t="shared" si="55"/>
        <v>0</v>
      </c>
      <c r="F182" s="42">
        <f t="shared" si="55"/>
        <v>55.307444966608955</v>
      </c>
      <c r="G182" s="42">
        <f t="shared" si="55"/>
        <v>87.151125401929249</v>
      </c>
      <c r="H182" s="42">
        <f t="shared" si="55"/>
        <v>87.151125401929249</v>
      </c>
      <c r="I182" s="42">
        <f t="shared" si="55"/>
        <v>87.151125401929249</v>
      </c>
      <c r="J182" s="42">
        <f t="shared" si="55"/>
        <v>90.922087558743513</v>
      </c>
      <c r="K182" s="42">
        <f t="shared" si="55"/>
        <v>78.580756863715067</v>
      </c>
      <c r="L182" s="42">
        <f t="shared" si="55"/>
        <v>77.247588424437296</v>
      </c>
      <c r="M182" s="42">
        <f t="shared" si="55"/>
        <v>77.247588424437296</v>
      </c>
      <c r="N182" s="42">
        <f t="shared" si="55"/>
        <v>77.247588424437296</v>
      </c>
      <c r="O182" s="42">
        <f t="shared" si="55"/>
        <v>77.247588424437296</v>
      </c>
      <c r="P182" s="42">
        <f t="shared" si="55"/>
        <v>77.933217907494409</v>
      </c>
      <c r="Q182" s="42">
        <f t="shared" si="55"/>
        <v>71.305466237942113</v>
      </c>
      <c r="R182" s="42">
        <f t="shared" si="55"/>
        <v>71.305466237942113</v>
      </c>
      <c r="S182" s="42">
        <f t="shared" si="55"/>
        <v>71.305466237942113</v>
      </c>
      <c r="T182" s="42">
        <f t="shared" si="55"/>
        <v>79.533020034627754</v>
      </c>
      <c r="U182" s="42">
        <f t="shared" si="55"/>
        <v>0</v>
      </c>
      <c r="V182" s="42">
        <f t="shared" si="55"/>
        <v>0</v>
      </c>
      <c r="W182" s="42">
        <f t="shared" si="55"/>
        <v>0</v>
      </c>
      <c r="X182" s="42">
        <f t="shared" si="55"/>
        <v>0</v>
      </c>
      <c r="Y182" s="42">
        <f t="shared" si="55"/>
        <v>0</v>
      </c>
      <c r="Z182" s="42">
        <f t="shared" si="55"/>
        <v>0</v>
      </c>
      <c r="AA182" s="42">
        <f t="shared" si="55"/>
        <v>0</v>
      </c>
      <c r="AB182" s="42">
        <f t="shared" si="55"/>
        <v>0</v>
      </c>
      <c r="AC182" s="42">
        <f t="shared" si="55"/>
        <v>0</v>
      </c>
      <c r="AD182" s="42">
        <f t="shared" si="55"/>
        <v>0</v>
      </c>
    </row>
    <row r="183" spans="1:30" outlineLevel="1">
      <c r="A183" s="13" t="str">
        <f>A172</f>
        <v>copper conc - contained silver</v>
      </c>
      <c r="B183" s="13" t="s">
        <v>82</v>
      </c>
      <c r="C183" s="44">
        <f>SUM(D183:AD183)</f>
        <v>60.610932475884248</v>
      </c>
      <c r="D183" s="42">
        <f t="shared" ref="D183:AD183" si="56">D172*D102/1000</f>
        <v>0</v>
      </c>
      <c r="E183" s="42">
        <f t="shared" si="56"/>
        <v>0</v>
      </c>
      <c r="F183" s="42">
        <f t="shared" si="56"/>
        <v>5.3054662379421202</v>
      </c>
      <c r="G183" s="42">
        <f t="shared" si="56"/>
        <v>8.360128617363344</v>
      </c>
      <c r="H183" s="42">
        <f t="shared" si="56"/>
        <v>8.360128617363344</v>
      </c>
      <c r="I183" s="42">
        <f t="shared" si="56"/>
        <v>8.360128617363344</v>
      </c>
      <c r="J183" s="42">
        <f t="shared" si="56"/>
        <v>8.7218649517684899</v>
      </c>
      <c r="K183" s="42">
        <f t="shared" si="56"/>
        <v>5.4662379421221869</v>
      </c>
      <c r="L183" s="42">
        <f t="shared" si="56"/>
        <v>3.135048231511254</v>
      </c>
      <c r="M183" s="42">
        <f t="shared" si="56"/>
        <v>3.135048231511254</v>
      </c>
      <c r="N183" s="42">
        <f t="shared" si="56"/>
        <v>3.135048231511254</v>
      </c>
      <c r="O183" s="42">
        <f t="shared" si="56"/>
        <v>3.135048231511254</v>
      </c>
      <c r="P183" s="42">
        <f t="shared" si="56"/>
        <v>3.496784565916399</v>
      </c>
      <c r="Q183" s="42">
        <f t="shared" si="56"/>
        <v>0</v>
      </c>
      <c r="R183" s="42">
        <f t="shared" si="56"/>
        <v>0</v>
      </c>
      <c r="S183" s="42">
        <f t="shared" si="56"/>
        <v>0</v>
      </c>
      <c r="T183" s="42">
        <f t="shared" si="56"/>
        <v>0</v>
      </c>
      <c r="U183" s="42">
        <f t="shared" si="56"/>
        <v>0</v>
      </c>
      <c r="V183" s="42">
        <f t="shared" si="56"/>
        <v>0</v>
      </c>
      <c r="W183" s="42">
        <f t="shared" si="56"/>
        <v>0</v>
      </c>
      <c r="X183" s="42">
        <f t="shared" si="56"/>
        <v>0</v>
      </c>
      <c r="Y183" s="42">
        <f t="shared" si="56"/>
        <v>0</v>
      </c>
      <c r="Z183" s="42">
        <f t="shared" si="56"/>
        <v>0</v>
      </c>
      <c r="AA183" s="42">
        <f t="shared" si="56"/>
        <v>0</v>
      </c>
      <c r="AB183" s="42">
        <f t="shared" si="56"/>
        <v>0</v>
      </c>
      <c r="AC183" s="42">
        <f t="shared" si="56"/>
        <v>0</v>
      </c>
      <c r="AD183" s="42">
        <f t="shared" si="56"/>
        <v>0</v>
      </c>
    </row>
    <row r="184" spans="1:30" outlineLevel="1">
      <c r="A184" s="13" t="str">
        <f>A179</f>
        <v>moly concentrate - contained moly - mid case</v>
      </c>
      <c r="B184" s="13" t="s">
        <v>82</v>
      </c>
      <c r="C184" s="44">
        <f>SUM(D184:AD184)</f>
        <v>1611.1216799999997</v>
      </c>
      <c r="D184" s="42">
        <f t="shared" ref="D184:AD184" si="57">D179*2.2046*D103</f>
        <v>0</v>
      </c>
      <c r="E184" s="42">
        <f t="shared" si="57"/>
        <v>0</v>
      </c>
      <c r="F184" s="42">
        <f t="shared" si="57"/>
        <v>141.02656615384612</v>
      </c>
      <c r="G184" s="42">
        <f t="shared" si="57"/>
        <v>222.22368000000003</v>
      </c>
      <c r="H184" s="42">
        <f t="shared" si="57"/>
        <v>222.22368000000003</v>
      </c>
      <c r="I184" s="42">
        <f t="shared" si="57"/>
        <v>222.22368000000003</v>
      </c>
      <c r="J184" s="42">
        <f t="shared" si="57"/>
        <v>231.83912769230773</v>
      </c>
      <c r="K184" s="42">
        <f t="shared" si="57"/>
        <v>145.30009846153848</v>
      </c>
      <c r="L184" s="42">
        <f t="shared" si="57"/>
        <v>83.333879999999994</v>
      </c>
      <c r="M184" s="42">
        <f t="shared" si="57"/>
        <v>83.333879999999994</v>
      </c>
      <c r="N184" s="42">
        <f t="shared" si="57"/>
        <v>83.333879999999994</v>
      </c>
      <c r="O184" s="42">
        <f t="shared" si="57"/>
        <v>83.333879999999994</v>
      </c>
      <c r="P184" s="42">
        <f t="shared" si="57"/>
        <v>92.949327692307691</v>
      </c>
      <c r="Q184" s="42">
        <f t="shared" si="57"/>
        <v>0</v>
      </c>
      <c r="R184" s="42">
        <f t="shared" si="57"/>
        <v>0</v>
      </c>
      <c r="S184" s="42">
        <f t="shared" si="57"/>
        <v>0</v>
      </c>
      <c r="T184" s="42">
        <f t="shared" si="57"/>
        <v>0</v>
      </c>
      <c r="U184" s="42">
        <f t="shared" si="57"/>
        <v>0</v>
      </c>
      <c r="V184" s="42">
        <f t="shared" si="57"/>
        <v>0</v>
      </c>
      <c r="W184" s="42">
        <f t="shared" si="57"/>
        <v>0</v>
      </c>
      <c r="X184" s="42">
        <f t="shared" si="57"/>
        <v>0</v>
      </c>
      <c r="Y184" s="42">
        <f t="shared" si="57"/>
        <v>0</v>
      </c>
      <c r="Z184" s="42">
        <f t="shared" si="57"/>
        <v>0</v>
      </c>
      <c r="AA184" s="42">
        <f t="shared" si="57"/>
        <v>0</v>
      </c>
      <c r="AB184" s="42">
        <f t="shared" si="57"/>
        <v>0</v>
      </c>
      <c r="AC184" s="42">
        <f t="shared" si="57"/>
        <v>0</v>
      </c>
      <c r="AD184" s="42">
        <f t="shared" si="57"/>
        <v>0</v>
      </c>
    </row>
    <row r="185" spans="1:30" outlineLevel="1">
      <c r="A185" s="13" t="s">
        <v>121</v>
      </c>
      <c r="C185" s="55">
        <f>SUM(D185:AD185)</f>
        <v>11256.625550024433</v>
      </c>
      <c r="D185" s="70">
        <f t="shared" ref="D185:AD185" si="58">SUM(D181:D184)</f>
        <v>0</v>
      </c>
      <c r="E185" s="70">
        <f t="shared" si="58"/>
        <v>0</v>
      </c>
      <c r="F185" s="70">
        <f t="shared" si="58"/>
        <v>579.85929668147412</v>
      </c>
      <c r="G185" s="70">
        <f t="shared" si="58"/>
        <v>913.71767961929254</v>
      </c>
      <c r="H185" s="70">
        <f t="shared" si="58"/>
        <v>913.71767961929254</v>
      </c>
      <c r="I185" s="70">
        <f t="shared" si="58"/>
        <v>913.71767961929254</v>
      </c>
      <c r="J185" s="70">
        <f t="shared" si="58"/>
        <v>953.25354075666587</v>
      </c>
      <c r="K185" s="70">
        <f t="shared" si="58"/>
        <v>784.49929019045271</v>
      </c>
      <c r="L185" s="70">
        <f t="shared" si="58"/>
        <v>728.65849425594865</v>
      </c>
      <c r="M185" s="70">
        <f t="shared" si="58"/>
        <v>728.65849425594865</v>
      </c>
      <c r="N185" s="70">
        <f t="shared" si="58"/>
        <v>728.65849425594865</v>
      </c>
      <c r="O185" s="70">
        <f t="shared" si="58"/>
        <v>728.65849425594865</v>
      </c>
      <c r="P185" s="70">
        <f t="shared" si="58"/>
        <v>741.47028401187231</v>
      </c>
      <c r="Q185" s="70">
        <f t="shared" si="58"/>
        <v>617.62298303794216</v>
      </c>
      <c r="R185" s="70">
        <f t="shared" si="58"/>
        <v>617.62298303794216</v>
      </c>
      <c r="S185" s="70">
        <f t="shared" si="58"/>
        <v>617.62298303794216</v>
      </c>
      <c r="T185" s="70">
        <f t="shared" si="58"/>
        <v>688.88717338847391</v>
      </c>
      <c r="U185" s="70">
        <f t="shared" si="58"/>
        <v>0</v>
      </c>
      <c r="V185" s="70">
        <f t="shared" si="58"/>
        <v>0</v>
      </c>
      <c r="W185" s="70">
        <f t="shared" si="58"/>
        <v>0</v>
      </c>
      <c r="X185" s="70">
        <f t="shared" si="58"/>
        <v>0</v>
      </c>
      <c r="Y185" s="70">
        <f t="shared" si="58"/>
        <v>0</v>
      </c>
      <c r="Z185" s="70">
        <f t="shared" si="58"/>
        <v>0</v>
      </c>
      <c r="AA185" s="70">
        <f t="shared" si="58"/>
        <v>0</v>
      </c>
      <c r="AB185" s="70">
        <f t="shared" si="58"/>
        <v>0</v>
      </c>
      <c r="AC185" s="70">
        <f t="shared" si="58"/>
        <v>0</v>
      </c>
      <c r="AD185" s="70">
        <f t="shared" si="58"/>
        <v>0</v>
      </c>
    </row>
    <row r="186" spans="1:30" ht="51" customHeight="1">
      <c r="A186" s="23" t="s">
        <v>198</v>
      </c>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row>
    <row r="187" spans="1:30" s="8" customFormat="1" ht="15.5" outlineLevel="1">
      <c r="A187" s="242" t="str">
        <f>'Expected NPV &amp; Common Data'!A$36</f>
        <v>Calendar Year --&gt;</v>
      </c>
      <c r="B187" s="243" t="str">
        <f>'Expected NPV &amp; Common Data'!B$36</f>
        <v>units</v>
      </c>
      <c r="C187" s="244" t="str">
        <f>'Expected NPV &amp; Common Data'!C$36</f>
        <v>Total</v>
      </c>
      <c r="D187" s="245">
        <f>'Expected NPV &amp; Common Data'!D$36</f>
        <v>2027</v>
      </c>
      <c r="E187" s="245">
        <f>'Expected NPV &amp; Common Data'!E$36</f>
        <v>2028</v>
      </c>
      <c r="F187" s="245">
        <f>'Expected NPV &amp; Common Data'!F$36</f>
        <v>2029</v>
      </c>
      <c r="G187" s="245">
        <f>'Expected NPV &amp; Common Data'!G$36</f>
        <v>2030</v>
      </c>
      <c r="H187" s="245">
        <f>'Expected NPV &amp; Common Data'!H$36</f>
        <v>2031</v>
      </c>
      <c r="I187" s="245">
        <f>'Expected NPV &amp; Common Data'!I$36</f>
        <v>2032</v>
      </c>
      <c r="J187" s="245">
        <f>'Expected NPV &amp; Common Data'!J$36</f>
        <v>2033</v>
      </c>
      <c r="K187" s="245">
        <f>'Expected NPV &amp; Common Data'!K$36</f>
        <v>2034</v>
      </c>
      <c r="L187" s="245">
        <f>'Expected NPV &amp; Common Data'!L$36</f>
        <v>2035</v>
      </c>
      <c r="M187" s="245">
        <f>'Expected NPV &amp; Common Data'!M$36</f>
        <v>2036</v>
      </c>
      <c r="N187" s="245">
        <f>'Expected NPV &amp; Common Data'!N$36</f>
        <v>2037</v>
      </c>
      <c r="O187" s="245">
        <f>'Expected NPV &amp; Common Data'!O$36</f>
        <v>2038</v>
      </c>
      <c r="P187" s="245">
        <f>'Expected NPV &amp; Common Data'!P$36</f>
        <v>2039</v>
      </c>
      <c r="Q187" s="245">
        <f>'Expected NPV &amp; Common Data'!Q$36</f>
        <v>2040</v>
      </c>
      <c r="R187" s="245">
        <f>'Expected NPV &amp; Common Data'!R$36</f>
        <v>2041</v>
      </c>
      <c r="S187" s="245">
        <f>'Expected NPV &amp; Common Data'!S$36</f>
        <v>2042</v>
      </c>
      <c r="T187" s="245">
        <f>'Expected NPV &amp; Common Data'!T$36</f>
        <v>2043</v>
      </c>
      <c r="U187" s="245">
        <f>'Expected NPV &amp; Common Data'!U$36</f>
        <v>2044</v>
      </c>
      <c r="V187" s="245">
        <f>'Expected NPV &amp; Common Data'!V$36</f>
        <v>2045</v>
      </c>
      <c r="W187" s="245">
        <f>'Expected NPV &amp; Common Data'!W$36</f>
        <v>2046</v>
      </c>
      <c r="X187" s="245">
        <f>'Expected NPV &amp; Common Data'!X$36</f>
        <v>2047</v>
      </c>
      <c r="Y187" s="245">
        <f>'Expected NPV &amp; Common Data'!Y$36</f>
        <v>2048</v>
      </c>
      <c r="Z187" s="245">
        <f>'Expected NPV &amp; Common Data'!Z$36</f>
        <v>2049</v>
      </c>
      <c r="AA187" s="245">
        <f>'Expected NPV &amp; Common Data'!AA$36</f>
        <v>2050</v>
      </c>
      <c r="AB187" s="245">
        <f>'Expected NPV &amp; Common Data'!AB$36</f>
        <v>2051</v>
      </c>
      <c r="AC187" s="245">
        <f>'Expected NPV &amp; Common Data'!AC$36</f>
        <v>2052</v>
      </c>
      <c r="AD187" s="245">
        <f>'Expected NPV &amp; Common Data'!AD$36</f>
        <v>2053</v>
      </c>
    </row>
    <row r="188" spans="1:30" ht="33" customHeight="1" outlineLevel="1">
      <c r="A188" s="24" t="s">
        <v>199</v>
      </c>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row>
    <row r="189" spans="1:30" outlineLevel="1">
      <c r="A189" s="134" t="s">
        <v>571</v>
      </c>
      <c r="C189" s="44"/>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row>
    <row r="190" spans="1:30" ht="14.4" customHeight="1" outlineLevel="1">
      <c r="A190" s="214" t="s">
        <v>95</v>
      </c>
      <c r="B190" s="214" t="s">
        <v>8</v>
      </c>
      <c r="C190" s="57"/>
      <c r="D190" s="219">
        <v>9</v>
      </c>
      <c r="E190" s="219">
        <f t="shared" ref="E190:AD190" si="59">D190</f>
        <v>9</v>
      </c>
      <c r="F190" s="219">
        <f t="shared" si="59"/>
        <v>9</v>
      </c>
      <c r="G190" s="219">
        <f t="shared" si="59"/>
        <v>9</v>
      </c>
      <c r="H190" s="219">
        <f t="shared" si="59"/>
        <v>9</v>
      </c>
      <c r="I190" s="219">
        <f t="shared" si="59"/>
        <v>9</v>
      </c>
      <c r="J190" s="219">
        <f t="shared" si="59"/>
        <v>9</v>
      </c>
      <c r="K190" s="219">
        <f t="shared" si="59"/>
        <v>9</v>
      </c>
      <c r="L190" s="219">
        <f t="shared" si="59"/>
        <v>9</v>
      </c>
      <c r="M190" s="219">
        <f t="shared" si="59"/>
        <v>9</v>
      </c>
      <c r="N190" s="219">
        <f t="shared" si="59"/>
        <v>9</v>
      </c>
      <c r="O190" s="219">
        <f t="shared" si="59"/>
        <v>9</v>
      </c>
      <c r="P190" s="219">
        <f t="shared" si="59"/>
        <v>9</v>
      </c>
      <c r="Q190" s="219">
        <f t="shared" si="59"/>
        <v>9</v>
      </c>
      <c r="R190" s="219">
        <f t="shared" si="59"/>
        <v>9</v>
      </c>
      <c r="S190" s="219">
        <f t="shared" si="59"/>
        <v>9</v>
      </c>
      <c r="T190" s="219">
        <f t="shared" si="59"/>
        <v>9</v>
      </c>
      <c r="U190" s="219">
        <f t="shared" si="59"/>
        <v>9</v>
      </c>
      <c r="V190" s="219">
        <f t="shared" si="59"/>
        <v>9</v>
      </c>
      <c r="W190" s="219">
        <f t="shared" si="59"/>
        <v>9</v>
      </c>
      <c r="X190" s="219">
        <f t="shared" si="59"/>
        <v>9</v>
      </c>
      <c r="Y190" s="219">
        <f t="shared" si="59"/>
        <v>9</v>
      </c>
      <c r="Z190" s="219">
        <f t="shared" si="59"/>
        <v>9</v>
      </c>
      <c r="AA190" s="219">
        <f t="shared" si="59"/>
        <v>9</v>
      </c>
      <c r="AB190" s="219">
        <f t="shared" si="59"/>
        <v>9</v>
      </c>
      <c r="AC190" s="219">
        <f t="shared" si="59"/>
        <v>9</v>
      </c>
      <c r="AD190" s="219">
        <f t="shared" si="59"/>
        <v>9</v>
      </c>
    </row>
    <row r="191" spans="1:30" ht="13.5" outlineLevel="1" thickBot="1">
      <c r="A191" s="13" t="s">
        <v>256</v>
      </c>
      <c r="B191" s="13" t="s">
        <v>81</v>
      </c>
      <c r="C191" s="44"/>
      <c r="D191" s="42">
        <f t="shared" ref="D191:AD191" si="60">IF(E166=0,0,D166*D190/52)</f>
        <v>0</v>
      </c>
      <c r="E191" s="42">
        <f t="shared" si="60"/>
        <v>0</v>
      </c>
      <c r="F191" s="42">
        <f t="shared" si="60"/>
        <v>23.945943882420302</v>
      </c>
      <c r="G191" s="42">
        <f t="shared" si="60"/>
        <v>37.733002481389576</v>
      </c>
      <c r="H191" s="42">
        <f t="shared" si="60"/>
        <v>37.733002481389576</v>
      </c>
      <c r="I191" s="42">
        <f t="shared" si="60"/>
        <v>37.733002481389576</v>
      </c>
      <c r="J191" s="42">
        <f t="shared" si="60"/>
        <v>39.365680473372777</v>
      </c>
      <c r="K191" s="42">
        <f t="shared" si="60"/>
        <v>35.147928994082839</v>
      </c>
      <c r="L191" s="42">
        <f t="shared" si="60"/>
        <v>35.767741935483876</v>
      </c>
      <c r="M191" s="42">
        <f t="shared" si="60"/>
        <v>35.767741935483876</v>
      </c>
      <c r="N191" s="42">
        <f t="shared" si="60"/>
        <v>35.767741935483876</v>
      </c>
      <c r="O191" s="42">
        <f t="shared" si="60"/>
        <v>35.767741935483876</v>
      </c>
      <c r="P191" s="42">
        <f t="shared" si="60"/>
        <v>35.903798434815798</v>
      </c>
      <c r="Q191" s="42">
        <f t="shared" si="60"/>
        <v>34.588585607940445</v>
      </c>
      <c r="R191" s="42">
        <f t="shared" si="60"/>
        <v>34.588585607940445</v>
      </c>
      <c r="S191" s="42">
        <f t="shared" si="60"/>
        <v>34.588585607940445</v>
      </c>
      <c r="T191" s="42">
        <f t="shared" si="60"/>
        <v>0</v>
      </c>
      <c r="U191" s="42">
        <f t="shared" si="60"/>
        <v>0</v>
      </c>
      <c r="V191" s="42">
        <f t="shared" si="60"/>
        <v>0</v>
      </c>
      <c r="W191" s="42">
        <f t="shared" si="60"/>
        <v>0</v>
      </c>
      <c r="X191" s="42">
        <f t="shared" si="60"/>
        <v>0</v>
      </c>
      <c r="Y191" s="42">
        <f t="shared" si="60"/>
        <v>0</v>
      </c>
      <c r="Z191" s="42">
        <f t="shared" si="60"/>
        <v>0</v>
      </c>
      <c r="AA191" s="42">
        <f t="shared" si="60"/>
        <v>0</v>
      </c>
      <c r="AB191" s="42">
        <f t="shared" si="60"/>
        <v>0</v>
      </c>
      <c r="AC191" s="42">
        <f t="shared" si="60"/>
        <v>0</v>
      </c>
      <c r="AD191" s="42">
        <f t="shared" si="60"/>
        <v>0</v>
      </c>
    </row>
    <row r="192" spans="1:30" s="14" customFormat="1" ht="13.5" outlineLevel="1" thickBot="1">
      <c r="A192" s="14" t="s">
        <v>80</v>
      </c>
      <c r="B192" s="13" t="s">
        <v>81</v>
      </c>
      <c r="C192" s="44">
        <f>SUM(D192:AD192)</f>
        <v>3079.4322580645166</v>
      </c>
      <c r="D192" s="58">
        <f>D166-D191</f>
        <v>0</v>
      </c>
      <c r="E192" s="55">
        <f t="shared" ref="E192:AD192" si="61">D191+E166-E191</f>
        <v>0</v>
      </c>
      <c r="F192" s="55">
        <f t="shared" si="61"/>
        <v>114.40839854934146</v>
      </c>
      <c r="G192" s="55">
        <f t="shared" si="61"/>
        <v>204.22584462683716</v>
      </c>
      <c r="H192" s="55">
        <f t="shared" si="61"/>
        <v>218.01290322580644</v>
      </c>
      <c r="I192" s="55">
        <f t="shared" si="61"/>
        <v>218.01290322580644</v>
      </c>
      <c r="J192" s="55">
        <f t="shared" si="61"/>
        <v>225.81347585417063</v>
      </c>
      <c r="K192" s="55">
        <f t="shared" si="61"/>
        <v>207.29467455621301</v>
      </c>
      <c r="L192" s="55">
        <f t="shared" si="61"/>
        <v>206.03825157472801</v>
      </c>
      <c r="M192" s="55">
        <f t="shared" si="61"/>
        <v>206.65806451612906</v>
      </c>
      <c r="N192" s="55">
        <f t="shared" si="61"/>
        <v>206.65806451612906</v>
      </c>
      <c r="O192" s="55">
        <f t="shared" si="61"/>
        <v>206.65806451612906</v>
      </c>
      <c r="P192" s="55">
        <f t="shared" si="61"/>
        <v>207.30811223515937</v>
      </c>
      <c r="Q192" s="55">
        <f t="shared" si="61"/>
        <v>201.16037411719793</v>
      </c>
      <c r="R192" s="55">
        <f t="shared" si="61"/>
        <v>199.84516129032258</v>
      </c>
      <c r="S192" s="55">
        <f t="shared" si="61"/>
        <v>199.84516129032258</v>
      </c>
      <c r="T192" s="55">
        <f t="shared" si="61"/>
        <v>257.49280397022335</v>
      </c>
      <c r="U192" s="55">
        <f t="shared" si="61"/>
        <v>0</v>
      </c>
      <c r="V192" s="55">
        <f t="shared" si="61"/>
        <v>0</v>
      </c>
      <c r="W192" s="55">
        <f t="shared" si="61"/>
        <v>0</v>
      </c>
      <c r="X192" s="55">
        <f t="shared" si="61"/>
        <v>0</v>
      </c>
      <c r="Y192" s="55">
        <f t="shared" si="61"/>
        <v>0</v>
      </c>
      <c r="Z192" s="55">
        <f t="shared" si="61"/>
        <v>0</v>
      </c>
      <c r="AA192" s="55">
        <f t="shared" si="61"/>
        <v>0</v>
      </c>
      <c r="AB192" s="55">
        <f t="shared" si="61"/>
        <v>0</v>
      </c>
      <c r="AC192" s="55">
        <f t="shared" si="61"/>
        <v>0</v>
      </c>
      <c r="AD192" s="55">
        <f t="shared" si="61"/>
        <v>0</v>
      </c>
    </row>
    <row r="193" spans="1:30" outlineLevel="1">
      <c r="A193" s="134" t="s">
        <v>547</v>
      </c>
      <c r="C193" s="44"/>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row>
    <row r="194" spans="1:30" outlineLevel="1">
      <c r="A194" s="214" t="s">
        <v>44</v>
      </c>
      <c r="B194" s="214" t="s">
        <v>119</v>
      </c>
      <c r="C194" s="258"/>
      <c r="D194" s="220">
        <v>0.1</v>
      </c>
      <c r="E194" s="220">
        <f t="shared" ref="E194:AD194" si="62">D194</f>
        <v>0.1</v>
      </c>
      <c r="F194" s="220">
        <f t="shared" si="62"/>
        <v>0.1</v>
      </c>
      <c r="G194" s="220">
        <f t="shared" si="62"/>
        <v>0.1</v>
      </c>
      <c r="H194" s="220">
        <f t="shared" si="62"/>
        <v>0.1</v>
      </c>
      <c r="I194" s="220">
        <f t="shared" si="62"/>
        <v>0.1</v>
      </c>
      <c r="J194" s="220">
        <f t="shared" si="62"/>
        <v>0.1</v>
      </c>
      <c r="K194" s="220">
        <f t="shared" si="62"/>
        <v>0.1</v>
      </c>
      <c r="L194" s="220">
        <f t="shared" si="62"/>
        <v>0.1</v>
      </c>
      <c r="M194" s="220">
        <f t="shared" si="62"/>
        <v>0.1</v>
      </c>
      <c r="N194" s="220">
        <f t="shared" si="62"/>
        <v>0.1</v>
      </c>
      <c r="O194" s="220">
        <f t="shared" si="62"/>
        <v>0.1</v>
      </c>
      <c r="P194" s="220">
        <f t="shared" si="62"/>
        <v>0.1</v>
      </c>
      <c r="Q194" s="220">
        <f t="shared" si="62"/>
        <v>0.1</v>
      </c>
      <c r="R194" s="220">
        <f t="shared" si="62"/>
        <v>0.1</v>
      </c>
      <c r="S194" s="220">
        <f t="shared" si="62"/>
        <v>0.1</v>
      </c>
      <c r="T194" s="220">
        <f t="shared" si="62"/>
        <v>0.1</v>
      </c>
      <c r="U194" s="220">
        <f t="shared" si="62"/>
        <v>0.1</v>
      </c>
      <c r="V194" s="220">
        <f t="shared" si="62"/>
        <v>0.1</v>
      </c>
      <c r="W194" s="220">
        <f t="shared" si="62"/>
        <v>0.1</v>
      </c>
      <c r="X194" s="220">
        <f t="shared" si="62"/>
        <v>0.1</v>
      </c>
      <c r="Y194" s="220">
        <f t="shared" si="62"/>
        <v>0.1</v>
      </c>
      <c r="Z194" s="220">
        <f t="shared" si="62"/>
        <v>0.1</v>
      </c>
      <c r="AA194" s="220">
        <f t="shared" si="62"/>
        <v>0.1</v>
      </c>
      <c r="AB194" s="220">
        <f t="shared" si="62"/>
        <v>0.1</v>
      </c>
      <c r="AC194" s="220">
        <f t="shared" si="62"/>
        <v>0.1</v>
      </c>
      <c r="AD194" s="220">
        <f t="shared" si="62"/>
        <v>0.1</v>
      </c>
    </row>
    <row r="195" spans="1:30" outlineLevel="1">
      <c r="A195" s="13" t="s">
        <v>258</v>
      </c>
      <c r="B195" s="13" t="s">
        <v>85</v>
      </c>
      <c r="C195" s="44">
        <f>SUM(D195:AD195)</f>
        <v>3421.5913978494632</v>
      </c>
      <c r="D195" s="42">
        <f t="shared" ref="D195:AD195" si="63">D192/(1-D194)</f>
        <v>0</v>
      </c>
      <c r="E195" s="42">
        <f t="shared" si="63"/>
        <v>0</v>
      </c>
      <c r="F195" s="42">
        <f t="shared" si="63"/>
        <v>127.12044283260161</v>
      </c>
      <c r="G195" s="42">
        <f t="shared" si="63"/>
        <v>226.91760514093016</v>
      </c>
      <c r="H195" s="42">
        <f t="shared" si="63"/>
        <v>242.23655913978493</v>
      </c>
      <c r="I195" s="42">
        <f t="shared" si="63"/>
        <v>242.23655913978493</v>
      </c>
      <c r="J195" s="42">
        <f t="shared" si="63"/>
        <v>250.9038620601896</v>
      </c>
      <c r="K195" s="42">
        <f t="shared" si="63"/>
        <v>230.32741617357001</v>
      </c>
      <c r="L195" s="42">
        <f t="shared" si="63"/>
        <v>228.93139063858666</v>
      </c>
      <c r="M195" s="42">
        <f t="shared" si="63"/>
        <v>229.62007168458783</v>
      </c>
      <c r="N195" s="42">
        <f t="shared" si="63"/>
        <v>229.62007168458783</v>
      </c>
      <c r="O195" s="42">
        <f t="shared" si="63"/>
        <v>229.62007168458783</v>
      </c>
      <c r="P195" s="42">
        <f t="shared" si="63"/>
        <v>230.34234692795485</v>
      </c>
      <c r="Q195" s="42">
        <f t="shared" si="63"/>
        <v>223.51152679688659</v>
      </c>
      <c r="R195" s="42">
        <f t="shared" si="63"/>
        <v>222.05017921146953</v>
      </c>
      <c r="S195" s="42">
        <f t="shared" si="63"/>
        <v>222.05017921146953</v>
      </c>
      <c r="T195" s="42">
        <f t="shared" si="63"/>
        <v>286.10311552247038</v>
      </c>
      <c r="U195" s="42">
        <f t="shared" si="63"/>
        <v>0</v>
      </c>
      <c r="V195" s="42">
        <f t="shared" si="63"/>
        <v>0</v>
      </c>
      <c r="W195" s="42">
        <f t="shared" si="63"/>
        <v>0</v>
      </c>
      <c r="X195" s="42">
        <f t="shared" si="63"/>
        <v>0</v>
      </c>
      <c r="Y195" s="42">
        <f t="shared" si="63"/>
        <v>0</v>
      </c>
      <c r="Z195" s="42">
        <f t="shared" si="63"/>
        <v>0</v>
      </c>
      <c r="AA195" s="42">
        <f t="shared" si="63"/>
        <v>0</v>
      </c>
      <c r="AB195" s="42">
        <f t="shared" si="63"/>
        <v>0</v>
      </c>
      <c r="AC195" s="42">
        <f t="shared" si="63"/>
        <v>0</v>
      </c>
      <c r="AD195" s="42">
        <f t="shared" si="63"/>
        <v>0</v>
      </c>
    </row>
    <row r="196" spans="1:30" outlineLevel="1">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row>
    <row r="197" spans="1:30" ht="33" customHeight="1" outlineLevel="1">
      <c r="A197" s="24" t="s">
        <v>200</v>
      </c>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row>
    <row r="198" spans="1:30" outlineLevel="1">
      <c r="A198" s="134" t="s">
        <v>572</v>
      </c>
      <c r="C198" s="44"/>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row>
    <row r="199" spans="1:30" ht="14.4" customHeight="1" outlineLevel="1">
      <c r="A199" s="214" t="s">
        <v>96</v>
      </c>
      <c r="B199" s="214" t="s">
        <v>8</v>
      </c>
      <c r="C199" s="57"/>
      <c r="D199" s="219">
        <v>12</v>
      </c>
      <c r="E199" s="219">
        <f t="shared" ref="E199:AD199" si="64">D199</f>
        <v>12</v>
      </c>
      <c r="F199" s="219">
        <f t="shared" si="64"/>
        <v>12</v>
      </c>
      <c r="G199" s="219">
        <f t="shared" si="64"/>
        <v>12</v>
      </c>
      <c r="H199" s="219">
        <f t="shared" si="64"/>
        <v>12</v>
      </c>
      <c r="I199" s="219">
        <f t="shared" si="64"/>
        <v>12</v>
      </c>
      <c r="J199" s="219">
        <f t="shared" si="64"/>
        <v>12</v>
      </c>
      <c r="K199" s="219">
        <f t="shared" si="64"/>
        <v>12</v>
      </c>
      <c r="L199" s="219">
        <f t="shared" si="64"/>
        <v>12</v>
      </c>
      <c r="M199" s="219">
        <f t="shared" si="64"/>
        <v>12</v>
      </c>
      <c r="N199" s="219">
        <f t="shared" si="64"/>
        <v>12</v>
      </c>
      <c r="O199" s="219">
        <f t="shared" si="64"/>
        <v>12</v>
      </c>
      <c r="P199" s="219">
        <f t="shared" si="64"/>
        <v>12</v>
      </c>
      <c r="Q199" s="219">
        <f t="shared" si="64"/>
        <v>12</v>
      </c>
      <c r="R199" s="219">
        <f t="shared" si="64"/>
        <v>12</v>
      </c>
      <c r="S199" s="219">
        <f t="shared" si="64"/>
        <v>12</v>
      </c>
      <c r="T199" s="219">
        <f t="shared" si="64"/>
        <v>12</v>
      </c>
      <c r="U199" s="219">
        <f t="shared" si="64"/>
        <v>12</v>
      </c>
      <c r="V199" s="219">
        <f t="shared" si="64"/>
        <v>12</v>
      </c>
      <c r="W199" s="219">
        <f t="shared" si="64"/>
        <v>12</v>
      </c>
      <c r="X199" s="219">
        <f t="shared" si="64"/>
        <v>12</v>
      </c>
      <c r="Y199" s="219">
        <f t="shared" si="64"/>
        <v>12</v>
      </c>
      <c r="Z199" s="219">
        <f t="shared" si="64"/>
        <v>12</v>
      </c>
      <c r="AA199" s="219">
        <f t="shared" si="64"/>
        <v>12</v>
      </c>
      <c r="AB199" s="219">
        <f t="shared" si="64"/>
        <v>12</v>
      </c>
      <c r="AC199" s="219">
        <f t="shared" si="64"/>
        <v>12</v>
      </c>
      <c r="AD199" s="219">
        <f t="shared" si="64"/>
        <v>12</v>
      </c>
    </row>
    <row r="200" spans="1:30" ht="13.5" outlineLevel="1" thickBot="1">
      <c r="A200" s="13" t="s">
        <v>110</v>
      </c>
      <c r="B200" s="13" t="s">
        <v>81</v>
      </c>
      <c r="C200" s="44"/>
      <c r="D200" s="56">
        <f t="shared" ref="D200:AD200" si="65">IF(E178=0,0,D178*D199/52)</f>
        <v>0</v>
      </c>
      <c r="E200" s="56">
        <f t="shared" si="65"/>
        <v>0</v>
      </c>
      <c r="F200" s="56">
        <f t="shared" si="65"/>
        <v>1.3420118343195262</v>
      </c>
      <c r="G200" s="56">
        <f t="shared" si="65"/>
        <v>2.1146853146853144</v>
      </c>
      <c r="H200" s="56">
        <f t="shared" si="65"/>
        <v>2.1146853146853144</v>
      </c>
      <c r="I200" s="56">
        <f t="shared" si="65"/>
        <v>2.1146853146853144</v>
      </c>
      <c r="J200" s="56">
        <f t="shared" si="65"/>
        <v>2.2061861215707368</v>
      </c>
      <c r="K200" s="56">
        <f t="shared" si="65"/>
        <v>1.3826788596019364</v>
      </c>
      <c r="L200" s="56">
        <f t="shared" si="65"/>
        <v>0.79300699300699284</v>
      </c>
      <c r="M200" s="56">
        <f t="shared" si="65"/>
        <v>0.79300699300699284</v>
      </c>
      <c r="N200" s="56">
        <f t="shared" si="65"/>
        <v>0.79300699300699284</v>
      </c>
      <c r="O200" s="56">
        <f t="shared" si="65"/>
        <v>0.79300699300699284</v>
      </c>
      <c r="P200" s="56">
        <f t="shared" si="65"/>
        <v>0</v>
      </c>
      <c r="Q200" s="56">
        <f t="shared" si="65"/>
        <v>0</v>
      </c>
      <c r="R200" s="56">
        <f t="shared" si="65"/>
        <v>0</v>
      </c>
      <c r="S200" s="56">
        <f t="shared" si="65"/>
        <v>0</v>
      </c>
      <c r="T200" s="56">
        <f t="shared" si="65"/>
        <v>0</v>
      </c>
      <c r="U200" s="56">
        <f t="shared" si="65"/>
        <v>0</v>
      </c>
      <c r="V200" s="56">
        <f t="shared" si="65"/>
        <v>0</v>
      </c>
      <c r="W200" s="56">
        <f t="shared" si="65"/>
        <v>0</v>
      </c>
      <c r="X200" s="56">
        <f t="shared" si="65"/>
        <v>0</v>
      </c>
      <c r="Y200" s="56">
        <f t="shared" si="65"/>
        <v>0</v>
      </c>
      <c r="Z200" s="56">
        <f t="shared" si="65"/>
        <v>0</v>
      </c>
      <c r="AA200" s="56">
        <f t="shared" si="65"/>
        <v>0</v>
      </c>
      <c r="AB200" s="56">
        <f t="shared" si="65"/>
        <v>0</v>
      </c>
      <c r="AC200" s="56">
        <f t="shared" si="65"/>
        <v>0</v>
      </c>
      <c r="AD200" s="56">
        <f t="shared" si="65"/>
        <v>0</v>
      </c>
    </row>
    <row r="201" spans="1:30" s="14" customFormat="1" ht="13.5" outlineLevel="1" thickBot="1">
      <c r="A201" s="14" t="s">
        <v>111</v>
      </c>
      <c r="B201" s="13" t="s">
        <v>81</v>
      </c>
      <c r="C201" s="44">
        <f>SUM(D201:AD201)</f>
        <v>66.436363636363623</v>
      </c>
      <c r="D201" s="58">
        <f>D178-D200</f>
        <v>0</v>
      </c>
      <c r="E201" s="55">
        <f t="shared" ref="E201:AD201" si="66">D200+E178-E200</f>
        <v>0</v>
      </c>
      <c r="F201" s="55">
        <f t="shared" si="66"/>
        <v>4.4733727810650876</v>
      </c>
      <c r="G201" s="55">
        <f t="shared" si="66"/>
        <v>8.3909628832705749</v>
      </c>
      <c r="H201" s="55">
        <f t="shared" si="66"/>
        <v>9.1636363636363622</v>
      </c>
      <c r="I201" s="55">
        <f t="shared" si="66"/>
        <v>9.1636363636363622</v>
      </c>
      <c r="J201" s="55">
        <f t="shared" si="66"/>
        <v>9.4686390532544369</v>
      </c>
      <c r="K201" s="55">
        <f t="shared" si="66"/>
        <v>6.8151156535771911</v>
      </c>
      <c r="L201" s="55">
        <f t="shared" si="66"/>
        <v>4.026035502958579</v>
      </c>
      <c r="M201" s="55">
        <f t="shared" si="66"/>
        <v>3.4363636363636361</v>
      </c>
      <c r="N201" s="55">
        <f t="shared" si="66"/>
        <v>3.4363636363636361</v>
      </c>
      <c r="O201" s="55">
        <f t="shared" si="66"/>
        <v>3.4363636363636361</v>
      </c>
      <c r="P201" s="55">
        <f t="shared" si="66"/>
        <v>4.6258741258741258</v>
      </c>
      <c r="Q201" s="55">
        <f t="shared" si="66"/>
        <v>0</v>
      </c>
      <c r="R201" s="55">
        <f t="shared" si="66"/>
        <v>0</v>
      </c>
      <c r="S201" s="55">
        <f t="shared" si="66"/>
        <v>0</v>
      </c>
      <c r="T201" s="55">
        <f t="shared" si="66"/>
        <v>0</v>
      </c>
      <c r="U201" s="55">
        <f t="shared" si="66"/>
        <v>0</v>
      </c>
      <c r="V201" s="55">
        <f t="shared" si="66"/>
        <v>0</v>
      </c>
      <c r="W201" s="55">
        <f t="shared" si="66"/>
        <v>0</v>
      </c>
      <c r="X201" s="55">
        <f t="shared" si="66"/>
        <v>0</v>
      </c>
      <c r="Y201" s="55">
        <f t="shared" si="66"/>
        <v>0</v>
      </c>
      <c r="Z201" s="55">
        <f t="shared" si="66"/>
        <v>0</v>
      </c>
      <c r="AA201" s="55">
        <f t="shared" si="66"/>
        <v>0</v>
      </c>
      <c r="AB201" s="55">
        <f t="shared" si="66"/>
        <v>0</v>
      </c>
      <c r="AC201" s="55">
        <f t="shared" si="66"/>
        <v>0</v>
      </c>
      <c r="AD201" s="55">
        <f t="shared" si="66"/>
        <v>0</v>
      </c>
    </row>
    <row r="202" spans="1:30" outlineLevel="1">
      <c r="A202" s="134" t="s">
        <v>547</v>
      </c>
      <c r="C202" s="44"/>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row>
    <row r="203" spans="1:30" outlineLevel="1">
      <c r="A203" s="214" t="s">
        <v>44</v>
      </c>
      <c r="B203" s="214" t="s">
        <v>119</v>
      </c>
      <c r="C203" s="258"/>
      <c r="D203" s="220">
        <v>0.1</v>
      </c>
      <c r="E203" s="220">
        <f t="shared" ref="E203:AD203" si="67">D203</f>
        <v>0.1</v>
      </c>
      <c r="F203" s="220">
        <f t="shared" si="67"/>
        <v>0.1</v>
      </c>
      <c r="G203" s="220">
        <f t="shared" si="67"/>
        <v>0.1</v>
      </c>
      <c r="H203" s="220">
        <f t="shared" si="67"/>
        <v>0.1</v>
      </c>
      <c r="I203" s="220">
        <f t="shared" si="67"/>
        <v>0.1</v>
      </c>
      <c r="J203" s="220">
        <f t="shared" si="67"/>
        <v>0.1</v>
      </c>
      <c r="K203" s="220">
        <f t="shared" si="67"/>
        <v>0.1</v>
      </c>
      <c r="L203" s="220">
        <f t="shared" si="67"/>
        <v>0.1</v>
      </c>
      <c r="M203" s="220">
        <f t="shared" si="67"/>
        <v>0.1</v>
      </c>
      <c r="N203" s="220">
        <f t="shared" si="67"/>
        <v>0.1</v>
      </c>
      <c r="O203" s="220">
        <f t="shared" si="67"/>
        <v>0.1</v>
      </c>
      <c r="P203" s="220">
        <f t="shared" si="67"/>
        <v>0.1</v>
      </c>
      <c r="Q203" s="220">
        <f t="shared" si="67"/>
        <v>0.1</v>
      </c>
      <c r="R203" s="220">
        <f t="shared" si="67"/>
        <v>0.1</v>
      </c>
      <c r="S203" s="220">
        <f t="shared" si="67"/>
        <v>0.1</v>
      </c>
      <c r="T203" s="220">
        <f t="shared" si="67"/>
        <v>0.1</v>
      </c>
      <c r="U203" s="220">
        <f t="shared" si="67"/>
        <v>0.1</v>
      </c>
      <c r="V203" s="220">
        <f t="shared" si="67"/>
        <v>0.1</v>
      </c>
      <c r="W203" s="220">
        <f t="shared" si="67"/>
        <v>0.1</v>
      </c>
      <c r="X203" s="220">
        <f t="shared" si="67"/>
        <v>0.1</v>
      </c>
      <c r="Y203" s="220">
        <f t="shared" si="67"/>
        <v>0.1</v>
      </c>
      <c r="Z203" s="220">
        <f t="shared" si="67"/>
        <v>0.1</v>
      </c>
      <c r="AA203" s="220">
        <f t="shared" si="67"/>
        <v>0.1</v>
      </c>
      <c r="AB203" s="220">
        <f t="shared" si="67"/>
        <v>0.1</v>
      </c>
      <c r="AC203" s="220">
        <f t="shared" si="67"/>
        <v>0.1</v>
      </c>
      <c r="AD203" s="220">
        <f t="shared" si="67"/>
        <v>0.1</v>
      </c>
    </row>
    <row r="204" spans="1:30" outlineLevel="1">
      <c r="A204" s="13" t="s">
        <v>259</v>
      </c>
      <c r="B204" s="13" t="s">
        <v>85</v>
      </c>
      <c r="C204" s="44">
        <f>SUM(D204:AD204)</f>
        <v>73.818181818181813</v>
      </c>
      <c r="D204" s="42">
        <f t="shared" ref="D204:AD204" si="68">D201/(1-D203)</f>
        <v>0</v>
      </c>
      <c r="E204" s="42">
        <f t="shared" si="68"/>
        <v>0</v>
      </c>
      <c r="F204" s="42">
        <f t="shared" si="68"/>
        <v>4.9704142011834307</v>
      </c>
      <c r="G204" s="42">
        <f t="shared" si="68"/>
        <v>9.3232920925228608</v>
      </c>
      <c r="H204" s="42">
        <f t="shared" si="68"/>
        <v>10.18181818181818</v>
      </c>
      <c r="I204" s="42">
        <f t="shared" si="68"/>
        <v>10.18181818181818</v>
      </c>
      <c r="J204" s="42">
        <f t="shared" si="68"/>
        <v>10.520710059171597</v>
      </c>
      <c r="K204" s="42">
        <f t="shared" si="68"/>
        <v>7.5723507261968788</v>
      </c>
      <c r="L204" s="42">
        <f t="shared" si="68"/>
        <v>4.4733727810650876</v>
      </c>
      <c r="M204" s="42">
        <f t="shared" si="68"/>
        <v>3.8181818181818179</v>
      </c>
      <c r="N204" s="42">
        <f t="shared" si="68"/>
        <v>3.8181818181818179</v>
      </c>
      <c r="O204" s="42">
        <f t="shared" si="68"/>
        <v>3.8181818181818179</v>
      </c>
      <c r="P204" s="42">
        <f t="shared" si="68"/>
        <v>5.13986013986014</v>
      </c>
      <c r="Q204" s="42">
        <f t="shared" si="68"/>
        <v>0</v>
      </c>
      <c r="R204" s="42">
        <f t="shared" si="68"/>
        <v>0</v>
      </c>
      <c r="S204" s="42">
        <f t="shared" si="68"/>
        <v>0</v>
      </c>
      <c r="T204" s="42">
        <f t="shared" si="68"/>
        <v>0</v>
      </c>
      <c r="U204" s="42">
        <f t="shared" si="68"/>
        <v>0</v>
      </c>
      <c r="V204" s="42">
        <f t="shared" si="68"/>
        <v>0</v>
      </c>
      <c r="W204" s="42">
        <f t="shared" si="68"/>
        <v>0</v>
      </c>
      <c r="X204" s="42">
        <f t="shared" si="68"/>
        <v>0</v>
      </c>
      <c r="Y204" s="42">
        <f t="shared" si="68"/>
        <v>0</v>
      </c>
      <c r="Z204" s="42">
        <f t="shared" si="68"/>
        <v>0</v>
      </c>
      <c r="AA204" s="42">
        <f t="shared" si="68"/>
        <v>0</v>
      </c>
      <c r="AB204" s="42">
        <f t="shared" si="68"/>
        <v>0</v>
      </c>
      <c r="AC204" s="42">
        <f t="shared" si="68"/>
        <v>0</v>
      </c>
      <c r="AD204" s="42">
        <f t="shared" si="68"/>
        <v>0</v>
      </c>
    </row>
    <row r="205" spans="1:30" outlineLevel="1">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row>
    <row r="206" spans="1:30" s="8" customFormat="1" ht="15.5" outlineLevel="1">
      <c r="A206" s="242" t="str">
        <f>'Expected NPV &amp; Common Data'!A$36</f>
        <v>Calendar Year --&gt;</v>
      </c>
      <c r="B206" s="243" t="str">
        <f>'Expected NPV &amp; Common Data'!B$36</f>
        <v>units</v>
      </c>
      <c r="C206" s="244" t="str">
        <f>'Expected NPV &amp; Common Data'!C$36</f>
        <v>Total</v>
      </c>
      <c r="D206" s="245">
        <f>'Expected NPV &amp; Common Data'!D$36</f>
        <v>2027</v>
      </c>
      <c r="E206" s="245">
        <f>'Expected NPV &amp; Common Data'!E$36</f>
        <v>2028</v>
      </c>
      <c r="F206" s="245">
        <f>'Expected NPV &amp; Common Data'!F$36</f>
        <v>2029</v>
      </c>
      <c r="G206" s="245">
        <f>'Expected NPV &amp; Common Data'!G$36</f>
        <v>2030</v>
      </c>
      <c r="H206" s="245">
        <f>'Expected NPV &amp; Common Data'!H$36</f>
        <v>2031</v>
      </c>
      <c r="I206" s="245">
        <f>'Expected NPV &amp; Common Data'!I$36</f>
        <v>2032</v>
      </c>
      <c r="J206" s="245">
        <f>'Expected NPV &amp; Common Data'!J$36</f>
        <v>2033</v>
      </c>
      <c r="K206" s="245">
        <f>'Expected NPV &amp; Common Data'!K$36</f>
        <v>2034</v>
      </c>
      <c r="L206" s="245">
        <f>'Expected NPV &amp; Common Data'!L$36</f>
        <v>2035</v>
      </c>
      <c r="M206" s="245">
        <f>'Expected NPV &amp; Common Data'!M$36</f>
        <v>2036</v>
      </c>
      <c r="N206" s="245">
        <f>'Expected NPV &amp; Common Data'!N$36</f>
        <v>2037</v>
      </c>
      <c r="O206" s="245">
        <f>'Expected NPV &amp; Common Data'!O$36</f>
        <v>2038</v>
      </c>
      <c r="P206" s="245">
        <f>'Expected NPV &amp; Common Data'!P$36</f>
        <v>2039</v>
      </c>
      <c r="Q206" s="245">
        <f>'Expected NPV &amp; Common Data'!Q$36</f>
        <v>2040</v>
      </c>
      <c r="R206" s="245">
        <f>'Expected NPV &amp; Common Data'!R$36</f>
        <v>2041</v>
      </c>
      <c r="S206" s="245">
        <f>'Expected NPV &amp; Common Data'!S$36</f>
        <v>2042</v>
      </c>
      <c r="T206" s="245">
        <f>'Expected NPV &amp; Common Data'!T$36</f>
        <v>2043</v>
      </c>
      <c r="U206" s="245">
        <f>'Expected NPV &amp; Common Data'!U$36</f>
        <v>2044</v>
      </c>
      <c r="V206" s="245">
        <f>'Expected NPV &amp; Common Data'!V$36</f>
        <v>2045</v>
      </c>
      <c r="W206" s="245">
        <f>'Expected NPV &amp; Common Data'!W$36</f>
        <v>2046</v>
      </c>
      <c r="X206" s="245">
        <f>'Expected NPV &amp; Common Data'!X$36</f>
        <v>2047</v>
      </c>
      <c r="Y206" s="245">
        <f>'Expected NPV &amp; Common Data'!Y$36</f>
        <v>2048</v>
      </c>
      <c r="Z206" s="245">
        <f>'Expected NPV &amp; Common Data'!Z$36</f>
        <v>2049</v>
      </c>
      <c r="AA206" s="245">
        <f>'Expected NPV &amp; Common Data'!AA$36</f>
        <v>2050</v>
      </c>
      <c r="AB206" s="245">
        <f>'Expected NPV &amp; Common Data'!AB$36</f>
        <v>2051</v>
      </c>
      <c r="AC206" s="245">
        <f>'Expected NPV &amp; Common Data'!AC$36</f>
        <v>2052</v>
      </c>
      <c r="AD206" s="245">
        <f>'Expected NPV &amp; Common Data'!AD$36</f>
        <v>2053</v>
      </c>
    </row>
    <row r="207" spans="1:30" ht="51" customHeight="1">
      <c r="A207" s="23" t="s">
        <v>201</v>
      </c>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row>
    <row r="208" spans="1:30" ht="130" customHeight="1">
      <c r="A208" s="23"/>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row>
    <row r="209" spans="1:30" ht="33" customHeight="1" outlineLevel="1">
      <c r="A209" s="24" t="s">
        <v>202</v>
      </c>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row>
    <row r="210" spans="1:30" s="134" customFormat="1" outlineLevel="1">
      <c r="A210" s="63" t="str">
        <f>'Expected NPV &amp; Common Data'!A41</f>
        <v>25 Nov 2025 S Mullah email of expected copper concentrate terms.  Pay the lesser of: 1.an absolute deduction of 1% Cu or 2. a percentage deduction of contained copper according to Cu assay.  (Can research on Internet)</v>
      </c>
      <c r="C210" s="259"/>
      <c r="D210" s="260"/>
      <c r="E210" s="260"/>
      <c r="F210" s="260"/>
      <c r="G210" s="260"/>
      <c r="H210" s="260"/>
      <c r="I210" s="260"/>
      <c r="J210" s="260"/>
      <c r="K210" s="260"/>
      <c r="L210" s="260"/>
      <c r="M210" s="260"/>
      <c r="N210" s="260"/>
      <c r="O210" s="260"/>
      <c r="P210" s="260"/>
      <c r="Q210" s="260"/>
      <c r="R210" s="260"/>
      <c r="S210" s="260"/>
      <c r="T210" s="260"/>
      <c r="U210" s="260"/>
      <c r="V210" s="260"/>
      <c r="W210" s="260"/>
      <c r="X210" s="260"/>
      <c r="Y210" s="260"/>
      <c r="Z210" s="260"/>
      <c r="AA210" s="260"/>
      <c r="AB210" s="260"/>
      <c r="AC210" s="260"/>
      <c r="AD210" s="260"/>
    </row>
    <row r="211" spans="1:30" outlineLevel="1">
      <c r="A211" s="50" t="s">
        <v>263</v>
      </c>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c r="AA211" s="42"/>
      <c r="AB211" s="42"/>
      <c r="AC211" s="42"/>
      <c r="AD211" s="42"/>
    </row>
    <row r="212" spans="1:30" outlineLevel="1">
      <c r="A212" s="45" t="s">
        <v>103</v>
      </c>
      <c r="B212" s="13" t="s">
        <v>35</v>
      </c>
      <c r="C212" s="38"/>
      <c r="D212" s="46">
        <f t="shared" ref="D212:AD212" si="69">IF(D166=0,0,D165)</f>
        <v>0</v>
      </c>
      <c r="E212" s="46">
        <f t="shared" si="69"/>
        <v>0</v>
      </c>
      <c r="F212" s="46">
        <f t="shared" si="69"/>
        <v>0.31</v>
      </c>
      <c r="G212" s="46">
        <f t="shared" si="69"/>
        <v>0.31</v>
      </c>
      <c r="H212" s="46">
        <f t="shared" si="69"/>
        <v>0.31</v>
      </c>
      <c r="I212" s="46">
        <f t="shared" si="69"/>
        <v>0.31</v>
      </c>
      <c r="J212" s="46">
        <f t="shared" si="69"/>
        <v>0.31</v>
      </c>
      <c r="K212" s="46">
        <f t="shared" si="69"/>
        <v>0.31</v>
      </c>
      <c r="L212" s="46">
        <f t="shared" si="69"/>
        <v>0.31</v>
      </c>
      <c r="M212" s="46">
        <f t="shared" si="69"/>
        <v>0.31</v>
      </c>
      <c r="N212" s="46">
        <f t="shared" si="69"/>
        <v>0.31</v>
      </c>
      <c r="O212" s="46">
        <f t="shared" si="69"/>
        <v>0.31</v>
      </c>
      <c r="P212" s="46">
        <f t="shared" si="69"/>
        <v>0.31</v>
      </c>
      <c r="Q212" s="46">
        <f t="shared" si="69"/>
        <v>0.31</v>
      </c>
      <c r="R212" s="46">
        <f t="shared" si="69"/>
        <v>0.31</v>
      </c>
      <c r="S212" s="46">
        <f t="shared" si="69"/>
        <v>0.31</v>
      </c>
      <c r="T212" s="46">
        <f t="shared" si="69"/>
        <v>0.31</v>
      </c>
      <c r="U212" s="46">
        <f t="shared" si="69"/>
        <v>0</v>
      </c>
      <c r="V212" s="46">
        <f t="shared" si="69"/>
        <v>0</v>
      </c>
      <c r="W212" s="46">
        <f t="shared" si="69"/>
        <v>0</v>
      </c>
      <c r="X212" s="46">
        <f t="shared" si="69"/>
        <v>0</v>
      </c>
      <c r="Y212" s="46">
        <f t="shared" si="69"/>
        <v>0</v>
      </c>
      <c r="Z212" s="46">
        <f t="shared" si="69"/>
        <v>0</v>
      </c>
      <c r="AA212" s="46">
        <f t="shared" si="69"/>
        <v>0</v>
      </c>
      <c r="AB212" s="46">
        <f t="shared" si="69"/>
        <v>0</v>
      </c>
      <c r="AC212" s="46">
        <f t="shared" si="69"/>
        <v>0</v>
      </c>
      <c r="AD212" s="46">
        <f t="shared" si="69"/>
        <v>0</v>
      </c>
    </row>
    <row r="213" spans="1:30" outlineLevel="1">
      <c r="A213" s="49" t="s">
        <v>155</v>
      </c>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c r="AA213" s="42"/>
      <c r="AB213" s="42"/>
      <c r="AC213" s="42"/>
      <c r="AD213" s="42"/>
    </row>
    <row r="214" spans="1:30" outlineLevel="1">
      <c r="A214" s="247" t="str">
        <f>'Expected NPV &amp; Common Data'!A43</f>
        <v>Copper deduction</v>
      </c>
      <c r="B214" s="247" t="str">
        <f>'Expected NPV &amp; Common Data'!B43</f>
        <v>% of contained copper</v>
      </c>
      <c r="C214" s="247"/>
      <c r="D214" s="261">
        <f>'Expected NPV &amp; Common Data'!D43</f>
        <v>3.2500000000000001E-2</v>
      </c>
      <c r="E214" s="261">
        <f>'Expected NPV &amp; Common Data'!E43</f>
        <v>3.2500000000000001E-2</v>
      </c>
      <c r="F214" s="261">
        <f>'Expected NPV &amp; Common Data'!F43</f>
        <v>3.2500000000000001E-2</v>
      </c>
      <c r="G214" s="261">
        <f>'Expected NPV &amp; Common Data'!G43</f>
        <v>3.2500000000000001E-2</v>
      </c>
      <c r="H214" s="261">
        <f>'Expected NPV &amp; Common Data'!H43</f>
        <v>3.2500000000000001E-2</v>
      </c>
      <c r="I214" s="261">
        <f>'Expected NPV &amp; Common Data'!I43</f>
        <v>3.2500000000000001E-2</v>
      </c>
      <c r="J214" s="261">
        <f>'Expected NPV &amp; Common Data'!J43</f>
        <v>3.2500000000000001E-2</v>
      </c>
      <c r="K214" s="261">
        <f>'Expected NPV &amp; Common Data'!K43</f>
        <v>3.2500000000000001E-2</v>
      </c>
      <c r="L214" s="261">
        <f>'Expected NPV &amp; Common Data'!L43</f>
        <v>3.2500000000000001E-2</v>
      </c>
      <c r="M214" s="261">
        <f>'Expected NPV &amp; Common Data'!M43</f>
        <v>3.2500000000000001E-2</v>
      </c>
      <c r="N214" s="261">
        <f>'Expected NPV &amp; Common Data'!N43</f>
        <v>3.2500000000000001E-2</v>
      </c>
      <c r="O214" s="261">
        <f>'Expected NPV &amp; Common Data'!O43</f>
        <v>3.2500000000000001E-2</v>
      </c>
      <c r="P214" s="261">
        <f>'Expected NPV &amp; Common Data'!P43</f>
        <v>3.2500000000000001E-2</v>
      </c>
      <c r="Q214" s="261">
        <f>'Expected NPV &amp; Common Data'!Q43</f>
        <v>3.2500000000000001E-2</v>
      </c>
      <c r="R214" s="261">
        <f>'Expected NPV &amp; Common Data'!R43</f>
        <v>3.2500000000000001E-2</v>
      </c>
      <c r="S214" s="261">
        <f>'Expected NPV &amp; Common Data'!S43</f>
        <v>3.2500000000000001E-2</v>
      </c>
      <c r="T214" s="261">
        <f>'Expected NPV &amp; Common Data'!T43</f>
        <v>3.2500000000000001E-2</v>
      </c>
      <c r="U214" s="261">
        <f>'Expected NPV &amp; Common Data'!U43</f>
        <v>3.2500000000000001E-2</v>
      </c>
      <c r="V214" s="261">
        <f>'Expected NPV &amp; Common Data'!V43</f>
        <v>3.2500000000000001E-2</v>
      </c>
      <c r="W214" s="261">
        <f>'Expected NPV &amp; Common Data'!W43</f>
        <v>3.2500000000000001E-2</v>
      </c>
      <c r="X214" s="261">
        <f>'Expected NPV &amp; Common Data'!X43</f>
        <v>3.2500000000000001E-2</v>
      </c>
      <c r="Y214" s="261">
        <f>'Expected NPV &amp; Common Data'!Y43</f>
        <v>3.2500000000000001E-2</v>
      </c>
      <c r="Z214" s="261">
        <f>'Expected NPV &amp; Common Data'!Z43</f>
        <v>3.2500000000000001E-2</v>
      </c>
      <c r="AA214" s="261">
        <f>'Expected NPV &amp; Common Data'!AA43</f>
        <v>3.2500000000000001E-2</v>
      </c>
      <c r="AB214" s="261">
        <f>'Expected NPV &amp; Common Data'!AB43</f>
        <v>3.2500000000000001E-2</v>
      </c>
      <c r="AC214" s="261">
        <f>'Expected NPV &amp; Common Data'!AC43</f>
        <v>3.2500000000000001E-2</v>
      </c>
      <c r="AD214" s="261">
        <f>'Expected NPV &amp; Common Data'!AD43</f>
        <v>3.2500000000000001E-2</v>
      </c>
    </row>
    <row r="215" spans="1:30" outlineLevel="1">
      <c r="A215" s="247" t="str">
        <f>'Expected NPV &amp; Common Data'!A44</f>
        <v>Copper concentrate &gt;XX % Cu</v>
      </c>
      <c r="B215" s="247" t="str">
        <f>'Expected NPV &amp; Common Data'!B44</f>
        <v>% Cu</v>
      </c>
      <c r="C215" s="247"/>
      <c r="D215" s="262">
        <f>'Expected NPV &amp; Common Data'!D44</f>
        <v>0.35</v>
      </c>
      <c r="E215" s="262">
        <f>'Expected NPV &amp; Common Data'!E44</f>
        <v>0.35</v>
      </c>
      <c r="F215" s="262">
        <f>'Expected NPV &amp; Common Data'!F44</f>
        <v>0.35</v>
      </c>
      <c r="G215" s="262">
        <f>'Expected NPV &amp; Common Data'!G44</f>
        <v>0.35</v>
      </c>
      <c r="H215" s="262">
        <f>'Expected NPV &amp; Common Data'!H44</f>
        <v>0.35</v>
      </c>
      <c r="I215" s="262">
        <f>'Expected NPV &amp; Common Data'!I44</f>
        <v>0.35</v>
      </c>
      <c r="J215" s="262">
        <f>'Expected NPV &amp; Common Data'!J44</f>
        <v>0.35</v>
      </c>
      <c r="K215" s="262">
        <f>'Expected NPV &amp; Common Data'!K44</f>
        <v>0.35</v>
      </c>
      <c r="L215" s="262">
        <f>'Expected NPV &amp; Common Data'!L44</f>
        <v>0.35</v>
      </c>
      <c r="M215" s="262">
        <f>'Expected NPV &amp; Common Data'!M44</f>
        <v>0.35</v>
      </c>
      <c r="N215" s="262">
        <f>'Expected NPV &amp; Common Data'!N44</f>
        <v>0.35</v>
      </c>
      <c r="O215" s="262">
        <f>'Expected NPV &amp; Common Data'!O44</f>
        <v>0.35</v>
      </c>
      <c r="P215" s="262">
        <f>'Expected NPV &amp; Common Data'!P44</f>
        <v>0.35</v>
      </c>
      <c r="Q215" s="262">
        <f>'Expected NPV &amp; Common Data'!Q44</f>
        <v>0.35</v>
      </c>
      <c r="R215" s="262">
        <f>'Expected NPV &amp; Common Data'!R44</f>
        <v>0.35</v>
      </c>
      <c r="S215" s="262">
        <f>'Expected NPV &amp; Common Data'!S44</f>
        <v>0.35</v>
      </c>
      <c r="T215" s="262">
        <f>'Expected NPV &amp; Common Data'!T44</f>
        <v>0.35</v>
      </c>
      <c r="U215" s="262">
        <f>'Expected NPV &amp; Common Data'!U44</f>
        <v>0.35</v>
      </c>
      <c r="V215" s="262">
        <f>'Expected NPV &amp; Common Data'!V44</f>
        <v>0.35</v>
      </c>
      <c r="W215" s="262">
        <f>'Expected NPV &amp; Common Data'!W44</f>
        <v>0.35</v>
      </c>
      <c r="X215" s="262">
        <f>'Expected NPV &amp; Common Data'!X44</f>
        <v>0.35</v>
      </c>
      <c r="Y215" s="262">
        <f>'Expected NPV &amp; Common Data'!Y44</f>
        <v>0.35</v>
      </c>
      <c r="Z215" s="262">
        <f>'Expected NPV &amp; Common Data'!Z44</f>
        <v>0.35</v>
      </c>
      <c r="AA215" s="262">
        <f>'Expected NPV &amp; Common Data'!AA44</f>
        <v>0.35</v>
      </c>
      <c r="AB215" s="262">
        <f>'Expected NPV &amp; Common Data'!AB44</f>
        <v>0.35</v>
      </c>
      <c r="AC215" s="262">
        <f>'Expected NPV &amp; Common Data'!AC44</f>
        <v>0.35</v>
      </c>
      <c r="AD215" s="262">
        <f>'Expected NPV &amp; Common Data'!AD44</f>
        <v>0.35</v>
      </c>
    </row>
    <row r="216" spans="1:30" outlineLevel="1">
      <c r="A216" s="247" t="str">
        <f>'Expected NPV &amp; Common Data'!A45</f>
        <v>Copper deduction</v>
      </c>
      <c r="B216" s="247" t="str">
        <f>'Expected NPV &amp; Common Data'!B45</f>
        <v>% of contained copper</v>
      </c>
      <c r="C216" s="247"/>
      <c r="D216" s="261">
        <f>'Expected NPV &amp; Common Data'!D45</f>
        <v>3.3500000000000002E-2</v>
      </c>
      <c r="E216" s="261">
        <f>'Expected NPV &amp; Common Data'!E45</f>
        <v>3.3500000000000002E-2</v>
      </c>
      <c r="F216" s="261">
        <f>'Expected NPV &amp; Common Data'!F45</f>
        <v>3.3500000000000002E-2</v>
      </c>
      <c r="G216" s="261">
        <f>'Expected NPV &amp; Common Data'!G45</f>
        <v>3.3500000000000002E-2</v>
      </c>
      <c r="H216" s="261">
        <f>'Expected NPV &amp; Common Data'!H45</f>
        <v>3.3500000000000002E-2</v>
      </c>
      <c r="I216" s="261">
        <f>'Expected NPV &amp; Common Data'!I45</f>
        <v>3.3500000000000002E-2</v>
      </c>
      <c r="J216" s="261">
        <f>'Expected NPV &amp; Common Data'!J45</f>
        <v>3.3500000000000002E-2</v>
      </c>
      <c r="K216" s="261">
        <f>'Expected NPV &amp; Common Data'!K45</f>
        <v>3.3500000000000002E-2</v>
      </c>
      <c r="L216" s="261">
        <f>'Expected NPV &amp; Common Data'!L45</f>
        <v>3.3500000000000002E-2</v>
      </c>
      <c r="M216" s="261">
        <f>'Expected NPV &amp; Common Data'!M45</f>
        <v>3.3500000000000002E-2</v>
      </c>
      <c r="N216" s="261">
        <f>'Expected NPV &amp; Common Data'!N45</f>
        <v>3.3500000000000002E-2</v>
      </c>
      <c r="O216" s="261">
        <f>'Expected NPV &amp; Common Data'!O45</f>
        <v>3.3500000000000002E-2</v>
      </c>
      <c r="P216" s="261">
        <f>'Expected NPV &amp; Common Data'!P45</f>
        <v>3.3500000000000002E-2</v>
      </c>
      <c r="Q216" s="261">
        <f>'Expected NPV &amp; Common Data'!Q45</f>
        <v>3.3500000000000002E-2</v>
      </c>
      <c r="R216" s="261">
        <f>'Expected NPV &amp; Common Data'!R45</f>
        <v>3.3500000000000002E-2</v>
      </c>
      <c r="S216" s="261">
        <f>'Expected NPV &amp; Common Data'!S45</f>
        <v>3.3500000000000002E-2</v>
      </c>
      <c r="T216" s="261">
        <f>'Expected NPV &amp; Common Data'!T45</f>
        <v>3.3500000000000002E-2</v>
      </c>
      <c r="U216" s="261">
        <f>'Expected NPV &amp; Common Data'!U45</f>
        <v>3.3500000000000002E-2</v>
      </c>
      <c r="V216" s="261">
        <f>'Expected NPV &amp; Common Data'!V45</f>
        <v>3.3500000000000002E-2</v>
      </c>
      <c r="W216" s="261">
        <f>'Expected NPV &amp; Common Data'!W45</f>
        <v>3.3500000000000002E-2</v>
      </c>
      <c r="X216" s="261">
        <f>'Expected NPV &amp; Common Data'!X45</f>
        <v>3.3500000000000002E-2</v>
      </c>
      <c r="Y216" s="261">
        <f>'Expected NPV &amp; Common Data'!Y45</f>
        <v>3.3500000000000002E-2</v>
      </c>
      <c r="Z216" s="261">
        <f>'Expected NPV &amp; Common Data'!Z45</f>
        <v>3.3500000000000002E-2</v>
      </c>
      <c r="AA216" s="261">
        <f>'Expected NPV &amp; Common Data'!AA45</f>
        <v>3.3500000000000002E-2</v>
      </c>
      <c r="AB216" s="261">
        <f>'Expected NPV &amp; Common Data'!AB45</f>
        <v>3.3500000000000002E-2</v>
      </c>
      <c r="AC216" s="261">
        <f>'Expected NPV &amp; Common Data'!AC45</f>
        <v>3.3500000000000002E-2</v>
      </c>
      <c r="AD216" s="261">
        <f>'Expected NPV &amp; Common Data'!AD45</f>
        <v>3.3500000000000002E-2</v>
      </c>
    </row>
    <row r="217" spans="1:30" outlineLevel="1">
      <c r="A217" s="247" t="str">
        <f>'Expected NPV &amp; Common Data'!A46</f>
        <v>Copper concentrate &gt;XX % Cu</v>
      </c>
      <c r="B217" s="247" t="str">
        <f>'Expected NPV &amp; Common Data'!B46</f>
        <v>% Cu</v>
      </c>
      <c r="C217" s="247"/>
      <c r="D217" s="262">
        <f>'Expected NPV &amp; Common Data'!D46</f>
        <v>0.3</v>
      </c>
      <c r="E217" s="262">
        <f>'Expected NPV &amp; Common Data'!E46</f>
        <v>0.3</v>
      </c>
      <c r="F217" s="262">
        <f>'Expected NPV &amp; Common Data'!F46</f>
        <v>0.3</v>
      </c>
      <c r="G217" s="262">
        <f>'Expected NPV &amp; Common Data'!G46</f>
        <v>0.3</v>
      </c>
      <c r="H217" s="262">
        <f>'Expected NPV &amp; Common Data'!H46</f>
        <v>0.3</v>
      </c>
      <c r="I217" s="262">
        <f>'Expected NPV &amp; Common Data'!I46</f>
        <v>0.3</v>
      </c>
      <c r="J217" s="262">
        <f>'Expected NPV &amp; Common Data'!J46</f>
        <v>0.3</v>
      </c>
      <c r="K217" s="262">
        <f>'Expected NPV &amp; Common Data'!K46</f>
        <v>0.3</v>
      </c>
      <c r="L217" s="262">
        <f>'Expected NPV &amp; Common Data'!L46</f>
        <v>0.3</v>
      </c>
      <c r="M217" s="262">
        <f>'Expected NPV &amp; Common Data'!M46</f>
        <v>0.3</v>
      </c>
      <c r="N217" s="262">
        <f>'Expected NPV &amp; Common Data'!N46</f>
        <v>0.3</v>
      </c>
      <c r="O217" s="262">
        <f>'Expected NPV &amp; Common Data'!O46</f>
        <v>0.3</v>
      </c>
      <c r="P217" s="262">
        <f>'Expected NPV &amp; Common Data'!P46</f>
        <v>0.3</v>
      </c>
      <c r="Q217" s="262">
        <f>'Expected NPV &amp; Common Data'!Q46</f>
        <v>0.3</v>
      </c>
      <c r="R217" s="262">
        <f>'Expected NPV &amp; Common Data'!R46</f>
        <v>0.3</v>
      </c>
      <c r="S217" s="262">
        <f>'Expected NPV &amp; Common Data'!S46</f>
        <v>0.3</v>
      </c>
      <c r="T217" s="262">
        <f>'Expected NPV &amp; Common Data'!T46</f>
        <v>0.3</v>
      </c>
      <c r="U217" s="262">
        <f>'Expected NPV &amp; Common Data'!U46</f>
        <v>0.3</v>
      </c>
      <c r="V217" s="262">
        <f>'Expected NPV &amp; Common Data'!V46</f>
        <v>0.3</v>
      </c>
      <c r="W217" s="262">
        <f>'Expected NPV &amp; Common Data'!W46</f>
        <v>0.3</v>
      </c>
      <c r="X217" s="262">
        <f>'Expected NPV &amp; Common Data'!X46</f>
        <v>0.3</v>
      </c>
      <c r="Y217" s="262">
        <f>'Expected NPV &amp; Common Data'!Y46</f>
        <v>0.3</v>
      </c>
      <c r="Z217" s="262">
        <f>'Expected NPV &amp; Common Data'!Z46</f>
        <v>0.3</v>
      </c>
      <c r="AA217" s="262">
        <f>'Expected NPV &amp; Common Data'!AA46</f>
        <v>0.3</v>
      </c>
      <c r="AB217" s="262">
        <f>'Expected NPV &amp; Common Data'!AB46</f>
        <v>0.3</v>
      </c>
      <c r="AC217" s="262">
        <f>'Expected NPV &amp; Common Data'!AC46</f>
        <v>0.3</v>
      </c>
      <c r="AD217" s="262">
        <f>'Expected NPV &amp; Common Data'!AD46</f>
        <v>0.3</v>
      </c>
    </row>
    <row r="218" spans="1:30" outlineLevel="1">
      <c r="A218" s="247" t="str">
        <f>'Expected NPV &amp; Common Data'!A47</f>
        <v>Copper deduction</v>
      </c>
      <c r="B218" s="247" t="str">
        <f>'Expected NPV &amp; Common Data'!B47</f>
        <v>% of contained copper</v>
      </c>
      <c r="C218" s="247"/>
      <c r="D218" s="261">
        <f>'Expected NPV &amp; Common Data'!D47</f>
        <v>3.5000000000000003E-2</v>
      </c>
      <c r="E218" s="261">
        <f>'Expected NPV &amp; Common Data'!E47</f>
        <v>3.5000000000000003E-2</v>
      </c>
      <c r="F218" s="261">
        <f>'Expected NPV &amp; Common Data'!F47</f>
        <v>3.5000000000000003E-2</v>
      </c>
      <c r="G218" s="261">
        <f>'Expected NPV &amp; Common Data'!G47</f>
        <v>3.5000000000000003E-2</v>
      </c>
      <c r="H218" s="261">
        <f>'Expected NPV &amp; Common Data'!H47</f>
        <v>3.5000000000000003E-2</v>
      </c>
      <c r="I218" s="261">
        <f>'Expected NPV &amp; Common Data'!I47</f>
        <v>3.5000000000000003E-2</v>
      </c>
      <c r="J218" s="261">
        <f>'Expected NPV &amp; Common Data'!J47</f>
        <v>3.5000000000000003E-2</v>
      </c>
      <c r="K218" s="261">
        <f>'Expected NPV &amp; Common Data'!K47</f>
        <v>3.5000000000000003E-2</v>
      </c>
      <c r="L218" s="261">
        <f>'Expected NPV &amp; Common Data'!L47</f>
        <v>3.5000000000000003E-2</v>
      </c>
      <c r="M218" s="261">
        <f>'Expected NPV &amp; Common Data'!M47</f>
        <v>3.5000000000000003E-2</v>
      </c>
      <c r="N218" s="261">
        <f>'Expected NPV &amp; Common Data'!N47</f>
        <v>3.5000000000000003E-2</v>
      </c>
      <c r="O218" s="261">
        <f>'Expected NPV &amp; Common Data'!O47</f>
        <v>3.5000000000000003E-2</v>
      </c>
      <c r="P218" s="261">
        <f>'Expected NPV &amp; Common Data'!P47</f>
        <v>3.5000000000000003E-2</v>
      </c>
      <c r="Q218" s="261">
        <f>'Expected NPV &amp; Common Data'!Q47</f>
        <v>3.5000000000000003E-2</v>
      </c>
      <c r="R218" s="261">
        <f>'Expected NPV &amp; Common Data'!R47</f>
        <v>3.5000000000000003E-2</v>
      </c>
      <c r="S218" s="261">
        <f>'Expected NPV &amp; Common Data'!S47</f>
        <v>3.5000000000000003E-2</v>
      </c>
      <c r="T218" s="261">
        <f>'Expected NPV &amp; Common Data'!T47</f>
        <v>3.5000000000000003E-2</v>
      </c>
      <c r="U218" s="261">
        <f>'Expected NPV &amp; Common Data'!U47</f>
        <v>3.5000000000000003E-2</v>
      </c>
      <c r="V218" s="261">
        <f>'Expected NPV &amp; Common Data'!V47</f>
        <v>3.5000000000000003E-2</v>
      </c>
      <c r="W218" s="261">
        <f>'Expected NPV &amp; Common Data'!W47</f>
        <v>3.5000000000000003E-2</v>
      </c>
      <c r="X218" s="261">
        <f>'Expected NPV &amp; Common Data'!X47</f>
        <v>3.5000000000000003E-2</v>
      </c>
      <c r="Y218" s="261">
        <f>'Expected NPV &amp; Common Data'!Y47</f>
        <v>3.5000000000000003E-2</v>
      </c>
      <c r="Z218" s="261">
        <f>'Expected NPV &amp; Common Data'!Z47</f>
        <v>3.5000000000000003E-2</v>
      </c>
      <c r="AA218" s="261">
        <f>'Expected NPV &amp; Common Data'!AA47</f>
        <v>3.5000000000000003E-2</v>
      </c>
      <c r="AB218" s="261">
        <f>'Expected NPV &amp; Common Data'!AB47</f>
        <v>3.5000000000000003E-2</v>
      </c>
      <c r="AC218" s="261">
        <f>'Expected NPV &amp; Common Data'!AC47</f>
        <v>3.5000000000000003E-2</v>
      </c>
      <c r="AD218" s="261">
        <f>'Expected NPV &amp; Common Data'!AD47</f>
        <v>3.5000000000000003E-2</v>
      </c>
    </row>
    <row r="219" spans="1:30" outlineLevel="1">
      <c r="A219" s="13" t="s">
        <v>50</v>
      </c>
      <c r="B219" s="13" t="s">
        <v>88</v>
      </c>
      <c r="C219" s="38"/>
      <c r="D219" s="46">
        <f t="shared" ref="D219:AD219" si="70">IF(D165&gt;D215,D214,IF(D165&gt;D217,D216,D218))</f>
        <v>3.3500000000000002E-2</v>
      </c>
      <c r="E219" s="46">
        <f t="shared" si="70"/>
        <v>3.3500000000000002E-2</v>
      </c>
      <c r="F219" s="46">
        <f t="shared" si="70"/>
        <v>3.3500000000000002E-2</v>
      </c>
      <c r="G219" s="46">
        <f t="shared" si="70"/>
        <v>3.3500000000000002E-2</v>
      </c>
      <c r="H219" s="46">
        <f t="shared" si="70"/>
        <v>3.3500000000000002E-2</v>
      </c>
      <c r="I219" s="46">
        <f t="shared" si="70"/>
        <v>3.3500000000000002E-2</v>
      </c>
      <c r="J219" s="46">
        <f t="shared" si="70"/>
        <v>3.3500000000000002E-2</v>
      </c>
      <c r="K219" s="46">
        <f t="shared" si="70"/>
        <v>3.3500000000000002E-2</v>
      </c>
      <c r="L219" s="46">
        <f t="shared" si="70"/>
        <v>3.3500000000000002E-2</v>
      </c>
      <c r="M219" s="46">
        <f t="shared" si="70"/>
        <v>3.3500000000000002E-2</v>
      </c>
      <c r="N219" s="46">
        <f t="shared" si="70"/>
        <v>3.3500000000000002E-2</v>
      </c>
      <c r="O219" s="46">
        <f t="shared" si="70"/>
        <v>3.3500000000000002E-2</v>
      </c>
      <c r="P219" s="46">
        <f t="shared" si="70"/>
        <v>3.3500000000000002E-2</v>
      </c>
      <c r="Q219" s="46">
        <f t="shared" si="70"/>
        <v>3.3500000000000002E-2</v>
      </c>
      <c r="R219" s="46">
        <f t="shared" si="70"/>
        <v>3.3500000000000002E-2</v>
      </c>
      <c r="S219" s="46">
        <f t="shared" si="70"/>
        <v>3.3500000000000002E-2</v>
      </c>
      <c r="T219" s="46">
        <f t="shared" si="70"/>
        <v>3.3500000000000002E-2</v>
      </c>
      <c r="U219" s="46">
        <f t="shared" si="70"/>
        <v>3.3500000000000002E-2</v>
      </c>
      <c r="V219" s="46">
        <f t="shared" si="70"/>
        <v>3.3500000000000002E-2</v>
      </c>
      <c r="W219" s="46">
        <f t="shared" si="70"/>
        <v>3.3500000000000002E-2</v>
      </c>
      <c r="X219" s="46">
        <f t="shared" si="70"/>
        <v>3.3500000000000002E-2</v>
      </c>
      <c r="Y219" s="46">
        <f t="shared" si="70"/>
        <v>3.3500000000000002E-2</v>
      </c>
      <c r="Z219" s="46">
        <f t="shared" si="70"/>
        <v>3.3500000000000002E-2</v>
      </c>
      <c r="AA219" s="46">
        <f t="shared" si="70"/>
        <v>3.3500000000000002E-2</v>
      </c>
      <c r="AB219" s="46">
        <f t="shared" si="70"/>
        <v>3.3500000000000002E-2</v>
      </c>
      <c r="AC219" s="46">
        <f t="shared" si="70"/>
        <v>3.3500000000000002E-2</v>
      </c>
      <c r="AD219" s="46">
        <f t="shared" si="70"/>
        <v>3.3500000000000002E-2</v>
      </c>
    </row>
    <row r="220" spans="1:30" outlineLevel="1">
      <c r="A220" s="13" t="s">
        <v>87</v>
      </c>
      <c r="B220" s="13" t="s">
        <v>88</v>
      </c>
      <c r="C220" s="38"/>
      <c r="D220" s="46">
        <f t="shared" ref="D220:AD220" si="71">1-D219</f>
        <v>0.96650000000000003</v>
      </c>
      <c r="E220" s="46">
        <f t="shared" si="71"/>
        <v>0.96650000000000003</v>
      </c>
      <c r="F220" s="46">
        <f t="shared" si="71"/>
        <v>0.96650000000000003</v>
      </c>
      <c r="G220" s="46">
        <f t="shared" si="71"/>
        <v>0.96650000000000003</v>
      </c>
      <c r="H220" s="46">
        <f t="shared" si="71"/>
        <v>0.96650000000000003</v>
      </c>
      <c r="I220" s="46">
        <f t="shared" si="71"/>
        <v>0.96650000000000003</v>
      </c>
      <c r="J220" s="46">
        <f t="shared" si="71"/>
        <v>0.96650000000000003</v>
      </c>
      <c r="K220" s="46">
        <f t="shared" si="71"/>
        <v>0.96650000000000003</v>
      </c>
      <c r="L220" s="46">
        <f t="shared" si="71"/>
        <v>0.96650000000000003</v>
      </c>
      <c r="M220" s="46">
        <f t="shared" si="71"/>
        <v>0.96650000000000003</v>
      </c>
      <c r="N220" s="46">
        <f t="shared" si="71"/>
        <v>0.96650000000000003</v>
      </c>
      <c r="O220" s="46">
        <f t="shared" si="71"/>
        <v>0.96650000000000003</v>
      </c>
      <c r="P220" s="46">
        <f t="shared" si="71"/>
        <v>0.96650000000000003</v>
      </c>
      <c r="Q220" s="46">
        <f t="shared" si="71"/>
        <v>0.96650000000000003</v>
      </c>
      <c r="R220" s="46">
        <f t="shared" si="71"/>
        <v>0.96650000000000003</v>
      </c>
      <c r="S220" s="46">
        <f t="shared" si="71"/>
        <v>0.96650000000000003</v>
      </c>
      <c r="T220" s="46">
        <f t="shared" si="71"/>
        <v>0.96650000000000003</v>
      </c>
      <c r="U220" s="46">
        <f t="shared" si="71"/>
        <v>0.96650000000000003</v>
      </c>
      <c r="V220" s="46">
        <f t="shared" si="71"/>
        <v>0.96650000000000003</v>
      </c>
      <c r="W220" s="46">
        <f t="shared" si="71"/>
        <v>0.96650000000000003</v>
      </c>
      <c r="X220" s="46">
        <f t="shared" si="71"/>
        <v>0.96650000000000003</v>
      </c>
      <c r="Y220" s="46">
        <f t="shared" si="71"/>
        <v>0.96650000000000003</v>
      </c>
      <c r="Z220" s="46">
        <f t="shared" si="71"/>
        <v>0.96650000000000003</v>
      </c>
      <c r="AA220" s="46">
        <f t="shared" si="71"/>
        <v>0.96650000000000003</v>
      </c>
      <c r="AB220" s="46">
        <f t="shared" si="71"/>
        <v>0.96650000000000003</v>
      </c>
      <c r="AC220" s="46">
        <f t="shared" si="71"/>
        <v>0.96650000000000003</v>
      </c>
      <c r="AD220" s="46">
        <f t="shared" si="71"/>
        <v>0.96650000000000003</v>
      </c>
    </row>
    <row r="221" spans="1:30" outlineLevel="1">
      <c r="A221" s="13" t="s">
        <v>204</v>
      </c>
      <c r="C221" s="38"/>
      <c r="D221" s="46">
        <f t="shared" ref="D221:AD221" si="72">D212*D220</f>
        <v>0</v>
      </c>
      <c r="E221" s="46">
        <f t="shared" si="72"/>
        <v>0</v>
      </c>
      <c r="F221" s="46">
        <f t="shared" si="72"/>
        <v>0.29961500000000002</v>
      </c>
      <c r="G221" s="46">
        <f t="shared" si="72"/>
        <v>0.29961500000000002</v>
      </c>
      <c r="H221" s="46">
        <f t="shared" si="72"/>
        <v>0.29961500000000002</v>
      </c>
      <c r="I221" s="46">
        <f t="shared" si="72"/>
        <v>0.29961500000000002</v>
      </c>
      <c r="J221" s="46">
        <f t="shared" si="72"/>
        <v>0.29961500000000002</v>
      </c>
      <c r="K221" s="46">
        <f t="shared" si="72"/>
        <v>0.29961500000000002</v>
      </c>
      <c r="L221" s="46">
        <f t="shared" si="72"/>
        <v>0.29961500000000002</v>
      </c>
      <c r="M221" s="46">
        <f t="shared" si="72"/>
        <v>0.29961500000000002</v>
      </c>
      <c r="N221" s="46">
        <f t="shared" si="72"/>
        <v>0.29961500000000002</v>
      </c>
      <c r="O221" s="46">
        <f t="shared" si="72"/>
        <v>0.29961500000000002</v>
      </c>
      <c r="P221" s="46">
        <f t="shared" si="72"/>
        <v>0.29961500000000002</v>
      </c>
      <c r="Q221" s="46">
        <f t="shared" si="72"/>
        <v>0.29961500000000002</v>
      </c>
      <c r="R221" s="46">
        <f t="shared" si="72"/>
        <v>0.29961500000000002</v>
      </c>
      <c r="S221" s="46">
        <f t="shared" si="72"/>
        <v>0.29961500000000002</v>
      </c>
      <c r="T221" s="46">
        <f t="shared" si="72"/>
        <v>0.29961500000000002</v>
      </c>
      <c r="U221" s="46">
        <f t="shared" si="72"/>
        <v>0</v>
      </c>
      <c r="V221" s="46">
        <f t="shared" si="72"/>
        <v>0</v>
      </c>
      <c r="W221" s="46">
        <f t="shared" si="72"/>
        <v>0</v>
      </c>
      <c r="X221" s="46">
        <f t="shared" si="72"/>
        <v>0</v>
      </c>
      <c r="Y221" s="46">
        <f t="shared" si="72"/>
        <v>0</v>
      </c>
      <c r="Z221" s="46">
        <f t="shared" si="72"/>
        <v>0</v>
      </c>
      <c r="AA221" s="46">
        <f t="shared" si="72"/>
        <v>0</v>
      </c>
      <c r="AB221" s="46">
        <f t="shared" si="72"/>
        <v>0</v>
      </c>
      <c r="AC221" s="46">
        <f t="shared" si="72"/>
        <v>0</v>
      </c>
      <c r="AD221" s="46">
        <f t="shared" si="72"/>
        <v>0</v>
      </c>
    </row>
    <row r="222" spans="1:30" outlineLevel="1">
      <c r="A222" s="49" t="s">
        <v>153</v>
      </c>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row>
    <row r="223" spans="1:30" outlineLevel="1">
      <c r="A223" s="247" t="str">
        <f>'Expected NPV &amp; Common Data'!A49</f>
        <v xml:space="preserve">Copper deduction - minimum </v>
      </c>
      <c r="B223" s="247" t="str">
        <f>'Expected NPV &amp; Common Data'!B49</f>
        <v>% Cu (absolute)</v>
      </c>
      <c r="C223" s="247"/>
      <c r="D223" s="261">
        <f>'Expected NPV &amp; Common Data'!D49</f>
        <v>0.01</v>
      </c>
      <c r="E223" s="261">
        <f>'Expected NPV &amp; Common Data'!E49</f>
        <v>0.01</v>
      </c>
      <c r="F223" s="261">
        <f>'Expected NPV &amp; Common Data'!F49</f>
        <v>0.01</v>
      </c>
      <c r="G223" s="261">
        <f>'Expected NPV &amp; Common Data'!G49</f>
        <v>0.01</v>
      </c>
      <c r="H223" s="261">
        <f>'Expected NPV &amp; Common Data'!H49</f>
        <v>0.01</v>
      </c>
      <c r="I223" s="261">
        <f>'Expected NPV &amp; Common Data'!I49</f>
        <v>0.01</v>
      </c>
      <c r="J223" s="261">
        <f>'Expected NPV &amp; Common Data'!J49</f>
        <v>0.01</v>
      </c>
      <c r="K223" s="261">
        <f>'Expected NPV &amp; Common Data'!K49</f>
        <v>0.01</v>
      </c>
      <c r="L223" s="261">
        <f>'Expected NPV &amp; Common Data'!L49</f>
        <v>0.01</v>
      </c>
      <c r="M223" s="261">
        <f>'Expected NPV &amp; Common Data'!M49</f>
        <v>0.01</v>
      </c>
      <c r="N223" s="261">
        <f>'Expected NPV &amp; Common Data'!N49</f>
        <v>0.01</v>
      </c>
      <c r="O223" s="261">
        <f>'Expected NPV &amp; Common Data'!O49</f>
        <v>0.01</v>
      </c>
      <c r="P223" s="261">
        <f>'Expected NPV &amp; Common Data'!P49</f>
        <v>0.01</v>
      </c>
      <c r="Q223" s="261">
        <f>'Expected NPV &amp; Common Data'!Q49</f>
        <v>0.01</v>
      </c>
      <c r="R223" s="261">
        <f>'Expected NPV &amp; Common Data'!R49</f>
        <v>0.01</v>
      </c>
      <c r="S223" s="261">
        <f>'Expected NPV &amp; Common Data'!S49</f>
        <v>0.01</v>
      </c>
      <c r="T223" s="261">
        <f>'Expected NPV &amp; Common Data'!T49</f>
        <v>0.01</v>
      </c>
      <c r="U223" s="261">
        <f>'Expected NPV &amp; Common Data'!U49</f>
        <v>0.01</v>
      </c>
      <c r="V223" s="261">
        <f>'Expected NPV &amp; Common Data'!V49</f>
        <v>0.01</v>
      </c>
      <c r="W223" s="261">
        <f>'Expected NPV &amp; Common Data'!W49</f>
        <v>0.01</v>
      </c>
      <c r="X223" s="261">
        <f>'Expected NPV &amp; Common Data'!X49</f>
        <v>0.01</v>
      </c>
      <c r="Y223" s="261">
        <f>'Expected NPV &amp; Common Data'!Y49</f>
        <v>0.01</v>
      </c>
      <c r="Z223" s="261">
        <f>'Expected NPV &amp; Common Data'!Z49</f>
        <v>0.01</v>
      </c>
      <c r="AA223" s="261">
        <f>'Expected NPV &amp; Common Data'!AA49</f>
        <v>0.01</v>
      </c>
      <c r="AB223" s="261">
        <f>'Expected NPV &amp; Common Data'!AB49</f>
        <v>0.01</v>
      </c>
      <c r="AC223" s="261">
        <f>'Expected NPV &amp; Common Data'!AC49</f>
        <v>0.01</v>
      </c>
      <c r="AD223" s="261">
        <f>'Expected NPV &amp; Common Data'!AD49</f>
        <v>0.01</v>
      </c>
    </row>
    <row r="224" spans="1:30" outlineLevel="1">
      <c r="A224" s="13" t="s">
        <v>205</v>
      </c>
      <c r="C224" s="38"/>
      <c r="D224" s="46">
        <f t="shared" ref="D224:AD224" si="73">IF(D212=0,0,D212-D223)</f>
        <v>0</v>
      </c>
      <c r="E224" s="46">
        <f t="shared" si="73"/>
        <v>0</v>
      </c>
      <c r="F224" s="46">
        <f t="shared" si="73"/>
        <v>0.3</v>
      </c>
      <c r="G224" s="46">
        <f t="shared" si="73"/>
        <v>0.3</v>
      </c>
      <c r="H224" s="46">
        <f t="shared" si="73"/>
        <v>0.3</v>
      </c>
      <c r="I224" s="46">
        <f t="shared" si="73"/>
        <v>0.3</v>
      </c>
      <c r="J224" s="46">
        <f t="shared" si="73"/>
        <v>0.3</v>
      </c>
      <c r="K224" s="46">
        <f t="shared" si="73"/>
        <v>0.3</v>
      </c>
      <c r="L224" s="46">
        <f t="shared" si="73"/>
        <v>0.3</v>
      </c>
      <c r="M224" s="46">
        <f t="shared" si="73"/>
        <v>0.3</v>
      </c>
      <c r="N224" s="46">
        <f t="shared" si="73"/>
        <v>0.3</v>
      </c>
      <c r="O224" s="46">
        <f t="shared" si="73"/>
        <v>0.3</v>
      </c>
      <c r="P224" s="46">
        <f t="shared" si="73"/>
        <v>0.3</v>
      </c>
      <c r="Q224" s="46">
        <f t="shared" si="73"/>
        <v>0.3</v>
      </c>
      <c r="R224" s="46">
        <f t="shared" si="73"/>
        <v>0.3</v>
      </c>
      <c r="S224" s="46">
        <f t="shared" si="73"/>
        <v>0.3</v>
      </c>
      <c r="T224" s="46">
        <f t="shared" si="73"/>
        <v>0.3</v>
      </c>
      <c r="U224" s="46">
        <f t="shared" si="73"/>
        <v>0</v>
      </c>
      <c r="V224" s="46">
        <f t="shared" si="73"/>
        <v>0</v>
      </c>
      <c r="W224" s="46">
        <f t="shared" si="73"/>
        <v>0</v>
      </c>
      <c r="X224" s="46">
        <f t="shared" si="73"/>
        <v>0</v>
      </c>
      <c r="Y224" s="46">
        <f t="shared" si="73"/>
        <v>0</v>
      </c>
      <c r="Z224" s="46">
        <f t="shared" si="73"/>
        <v>0</v>
      </c>
      <c r="AA224" s="46">
        <f t="shared" si="73"/>
        <v>0</v>
      </c>
      <c r="AB224" s="46">
        <f t="shared" si="73"/>
        <v>0</v>
      </c>
      <c r="AC224" s="46">
        <f t="shared" si="73"/>
        <v>0</v>
      </c>
      <c r="AD224" s="46">
        <f t="shared" si="73"/>
        <v>0</v>
      </c>
    </row>
    <row r="225" spans="1:30" outlineLevel="1">
      <c r="A225" s="49" t="s">
        <v>206</v>
      </c>
      <c r="C225" s="38"/>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row>
    <row r="226" spans="1:30" outlineLevel="1">
      <c r="A226" s="13" t="s">
        <v>46</v>
      </c>
      <c r="B226" s="13" t="s">
        <v>65</v>
      </c>
      <c r="C226" s="38"/>
      <c r="D226" s="46">
        <f t="shared" ref="D226:AD226" si="74">MIN(D221,D224)</f>
        <v>0</v>
      </c>
      <c r="E226" s="46">
        <f t="shared" si="74"/>
        <v>0</v>
      </c>
      <c r="F226" s="46">
        <f t="shared" si="74"/>
        <v>0.29961500000000002</v>
      </c>
      <c r="G226" s="46">
        <f t="shared" si="74"/>
        <v>0.29961500000000002</v>
      </c>
      <c r="H226" s="46">
        <f t="shared" si="74"/>
        <v>0.29961500000000002</v>
      </c>
      <c r="I226" s="46">
        <f t="shared" si="74"/>
        <v>0.29961500000000002</v>
      </c>
      <c r="J226" s="46">
        <f t="shared" si="74"/>
        <v>0.29961500000000002</v>
      </c>
      <c r="K226" s="46">
        <f t="shared" si="74"/>
        <v>0.29961500000000002</v>
      </c>
      <c r="L226" s="46">
        <f t="shared" si="74"/>
        <v>0.29961500000000002</v>
      </c>
      <c r="M226" s="46">
        <f t="shared" si="74"/>
        <v>0.29961500000000002</v>
      </c>
      <c r="N226" s="46">
        <f t="shared" si="74"/>
        <v>0.29961500000000002</v>
      </c>
      <c r="O226" s="46">
        <f t="shared" si="74"/>
        <v>0.29961500000000002</v>
      </c>
      <c r="P226" s="46">
        <f t="shared" si="74"/>
        <v>0.29961500000000002</v>
      </c>
      <c r="Q226" s="46">
        <f t="shared" si="74"/>
        <v>0.29961500000000002</v>
      </c>
      <c r="R226" s="46">
        <f t="shared" si="74"/>
        <v>0.29961500000000002</v>
      </c>
      <c r="S226" s="46">
        <f t="shared" si="74"/>
        <v>0.29961500000000002</v>
      </c>
      <c r="T226" s="46">
        <f t="shared" si="74"/>
        <v>0.29961500000000002</v>
      </c>
      <c r="U226" s="46">
        <f t="shared" si="74"/>
        <v>0</v>
      </c>
      <c r="V226" s="46">
        <f t="shared" si="74"/>
        <v>0</v>
      </c>
      <c r="W226" s="46">
        <f t="shared" si="74"/>
        <v>0</v>
      </c>
      <c r="X226" s="46">
        <f t="shared" si="74"/>
        <v>0</v>
      </c>
      <c r="Y226" s="46">
        <f t="shared" si="74"/>
        <v>0</v>
      </c>
      <c r="Z226" s="46">
        <f t="shared" si="74"/>
        <v>0</v>
      </c>
      <c r="AA226" s="46">
        <f t="shared" si="74"/>
        <v>0</v>
      </c>
      <c r="AB226" s="46">
        <f t="shared" si="74"/>
        <v>0</v>
      </c>
      <c r="AC226" s="46">
        <f t="shared" si="74"/>
        <v>0</v>
      </c>
      <c r="AD226" s="46">
        <f t="shared" si="74"/>
        <v>0</v>
      </c>
    </row>
    <row r="227" spans="1:30" outlineLevel="1">
      <c r="A227" s="13" t="str">
        <f>A100</f>
        <v>Copper price forecast - mid case</v>
      </c>
      <c r="B227" s="13" t="str">
        <f>B100</f>
        <v>US$/ lb real</v>
      </c>
      <c r="C227" s="56"/>
      <c r="D227" s="57">
        <f t="shared" ref="D227:AD227" si="75">D100</f>
        <v>4</v>
      </c>
      <c r="E227" s="57">
        <f t="shared" si="75"/>
        <v>4</v>
      </c>
      <c r="F227" s="57">
        <f t="shared" si="75"/>
        <v>4</v>
      </c>
      <c r="G227" s="57">
        <f t="shared" si="75"/>
        <v>4</v>
      </c>
      <c r="H227" s="57">
        <f t="shared" si="75"/>
        <v>4</v>
      </c>
      <c r="I227" s="57">
        <f t="shared" si="75"/>
        <v>4</v>
      </c>
      <c r="J227" s="57">
        <f t="shared" si="75"/>
        <v>4</v>
      </c>
      <c r="K227" s="57">
        <f t="shared" si="75"/>
        <v>4</v>
      </c>
      <c r="L227" s="57">
        <f t="shared" si="75"/>
        <v>4</v>
      </c>
      <c r="M227" s="57">
        <f t="shared" si="75"/>
        <v>4</v>
      </c>
      <c r="N227" s="57">
        <f t="shared" si="75"/>
        <v>4</v>
      </c>
      <c r="O227" s="57">
        <f t="shared" si="75"/>
        <v>4</v>
      </c>
      <c r="P227" s="57">
        <f t="shared" si="75"/>
        <v>4</v>
      </c>
      <c r="Q227" s="57">
        <f t="shared" si="75"/>
        <v>4</v>
      </c>
      <c r="R227" s="57">
        <f t="shared" si="75"/>
        <v>4</v>
      </c>
      <c r="S227" s="57">
        <f t="shared" si="75"/>
        <v>4</v>
      </c>
      <c r="T227" s="57">
        <f t="shared" si="75"/>
        <v>4</v>
      </c>
      <c r="U227" s="57">
        <f t="shared" si="75"/>
        <v>4</v>
      </c>
      <c r="V227" s="57">
        <f t="shared" si="75"/>
        <v>4</v>
      </c>
      <c r="W227" s="57">
        <f t="shared" si="75"/>
        <v>4</v>
      </c>
      <c r="X227" s="57">
        <f t="shared" si="75"/>
        <v>4</v>
      </c>
      <c r="Y227" s="57">
        <f t="shared" si="75"/>
        <v>4</v>
      </c>
      <c r="Z227" s="57">
        <f t="shared" si="75"/>
        <v>4</v>
      </c>
      <c r="AA227" s="57">
        <f t="shared" si="75"/>
        <v>4</v>
      </c>
      <c r="AB227" s="57">
        <f t="shared" si="75"/>
        <v>4</v>
      </c>
      <c r="AC227" s="57">
        <f t="shared" si="75"/>
        <v>4</v>
      </c>
      <c r="AD227" s="57">
        <f t="shared" si="75"/>
        <v>4</v>
      </c>
    </row>
    <row r="228" spans="1:30" s="14" customFormat="1" outlineLevel="1">
      <c r="A228" s="14" t="s">
        <v>48</v>
      </c>
      <c r="B228" s="13" t="s">
        <v>207</v>
      </c>
      <c r="C228" s="92"/>
      <c r="D228" s="55">
        <f t="shared" ref="D228:AD228" si="76">D226*D227*2204.6</f>
        <v>0</v>
      </c>
      <c r="E228" s="55">
        <f t="shared" si="76"/>
        <v>0</v>
      </c>
      <c r="F228" s="55">
        <f t="shared" si="76"/>
        <v>2642.1249160000002</v>
      </c>
      <c r="G228" s="55">
        <f t="shared" si="76"/>
        <v>2642.1249160000002</v>
      </c>
      <c r="H228" s="55">
        <f t="shared" si="76"/>
        <v>2642.1249160000002</v>
      </c>
      <c r="I228" s="55">
        <f t="shared" si="76"/>
        <v>2642.1249160000002</v>
      </c>
      <c r="J228" s="55">
        <f t="shared" si="76"/>
        <v>2642.1249160000002</v>
      </c>
      <c r="K228" s="55">
        <f t="shared" si="76"/>
        <v>2642.1249160000002</v>
      </c>
      <c r="L228" s="55">
        <f t="shared" si="76"/>
        <v>2642.1249160000002</v>
      </c>
      <c r="M228" s="55">
        <f t="shared" si="76"/>
        <v>2642.1249160000002</v>
      </c>
      <c r="N228" s="55">
        <f t="shared" si="76"/>
        <v>2642.1249160000002</v>
      </c>
      <c r="O228" s="55">
        <f t="shared" si="76"/>
        <v>2642.1249160000002</v>
      </c>
      <c r="P228" s="55">
        <f t="shared" si="76"/>
        <v>2642.1249160000002</v>
      </c>
      <c r="Q228" s="55">
        <f t="shared" si="76"/>
        <v>2642.1249160000002</v>
      </c>
      <c r="R228" s="55">
        <f t="shared" si="76"/>
        <v>2642.1249160000002</v>
      </c>
      <c r="S228" s="55">
        <f t="shared" si="76"/>
        <v>2642.1249160000002</v>
      </c>
      <c r="T228" s="55">
        <f t="shared" si="76"/>
        <v>2642.1249160000002</v>
      </c>
      <c r="U228" s="55">
        <f t="shared" si="76"/>
        <v>0</v>
      </c>
      <c r="V228" s="55">
        <f t="shared" si="76"/>
        <v>0</v>
      </c>
      <c r="W228" s="55">
        <f t="shared" si="76"/>
        <v>0</v>
      </c>
      <c r="X228" s="55">
        <f t="shared" si="76"/>
        <v>0</v>
      </c>
      <c r="Y228" s="55">
        <f t="shared" si="76"/>
        <v>0</v>
      </c>
      <c r="Z228" s="55">
        <f t="shared" si="76"/>
        <v>0</v>
      </c>
      <c r="AA228" s="55">
        <f t="shared" si="76"/>
        <v>0</v>
      </c>
      <c r="AB228" s="55">
        <f t="shared" si="76"/>
        <v>0</v>
      </c>
      <c r="AC228" s="55">
        <f t="shared" si="76"/>
        <v>0</v>
      </c>
      <c r="AD228" s="55">
        <f t="shared" si="76"/>
        <v>0</v>
      </c>
    </row>
    <row r="229" spans="1:30" s="134" customFormat="1" outlineLevel="1">
      <c r="A229" s="135"/>
      <c r="C229" s="136"/>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c r="AC229" s="64"/>
      <c r="AD229" s="64"/>
    </row>
    <row r="230" spans="1:30" outlineLevel="1">
      <c r="A230" s="50" t="s">
        <v>262</v>
      </c>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c r="AA230" s="42"/>
      <c r="AB230" s="42"/>
      <c r="AC230" s="42"/>
      <c r="AD230" s="42"/>
    </row>
    <row r="231" spans="1:30" outlineLevel="1">
      <c r="A231" s="13" t="str">
        <f>A167</f>
        <v>copper concentrate grade - gold</v>
      </c>
      <c r="B231" s="13" t="str">
        <f>B167</f>
        <v>g/t Au</v>
      </c>
      <c r="C231" s="56"/>
      <c r="D231" s="56">
        <f t="shared" ref="D231:AD231" si="77">D167</f>
        <v>0</v>
      </c>
      <c r="E231" s="56">
        <f t="shared" si="77"/>
        <v>0</v>
      </c>
      <c r="F231" s="56">
        <f t="shared" si="77"/>
        <v>6.2161458333333348</v>
      </c>
      <c r="G231" s="56">
        <f t="shared" si="77"/>
        <v>6.216145833333333</v>
      </c>
      <c r="H231" s="56">
        <f t="shared" si="77"/>
        <v>6.216145833333333</v>
      </c>
      <c r="I231" s="56">
        <f t="shared" si="77"/>
        <v>6.216145833333333</v>
      </c>
      <c r="J231" s="56">
        <f t="shared" si="77"/>
        <v>6.2161458333333339</v>
      </c>
      <c r="K231" s="56">
        <f t="shared" si="77"/>
        <v>6.0170833333333338</v>
      </c>
      <c r="L231" s="56">
        <f t="shared" si="77"/>
        <v>5.8124999999999991</v>
      </c>
      <c r="M231" s="56">
        <f t="shared" si="77"/>
        <v>5.8124999999999991</v>
      </c>
      <c r="N231" s="56">
        <f t="shared" si="77"/>
        <v>5.8124999999999991</v>
      </c>
      <c r="O231" s="56">
        <f t="shared" si="77"/>
        <v>5.8124999999999991</v>
      </c>
      <c r="P231" s="56">
        <f t="shared" si="77"/>
        <v>5.8418684210526317</v>
      </c>
      <c r="Q231" s="56">
        <f t="shared" si="77"/>
        <v>5.5482954545454541</v>
      </c>
      <c r="R231" s="56">
        <f t="shared" si="77"/>
        <v>5.5482954545454541</v>
      </c>
      <c r="S231" s="56">
        <f t="shared" si="77"/>
        <v>5.5482954545454541</v>
      </c>
      <c r="T231" s="56">
        <f t="shared" si="77"/>
        <v>5.548295454545455</v>
      </c>
      <c r="U231" s="56">
        <f t="shared" si="77"/>
        <v>0</v>
      </c>
      <c r="V231" s="56">
        <f t="shared" si="77"/>
        <v>0</v>
      </c>
      <c r="W231" s="56">
        <f t="shared" si="77"/>
        <v>0</v>
      </c>
      <c r="X231" s="56">
        <f t="shared" si="77"/>
        <v>0</v>
      </c>
      <c r="Y231" s="56">
        <f t="shared" si="77"/>
        <v>0</v>
      </c>
      <c r="Z231" s="56">
        <f t="shared" si="77"/>
        <v>0</v>
      </c>
      <c r="AA231" s="56">
        <f t="shared" si="77"/>
        <v>0</v>
      </c>
      <c r="AB231" s="56">
        <f t="shared" si="77"/>
        <v>0</v>
      </c>
      <c r="AC231" s="56">
        <f t="shared" si="77"/>
        <v>0</v>
      </c>
      <c r="AD231" s="56">
        <f t="shared" si="77"/>
        <v>0</v>
      </c>
    </row>
    <row r="232" spans="1:30" s="134" customFormat="1" outlineLevel="1">
      <c r="A232" s="63" t="str">
        <f>'Expected NPV &amp; Common Data'!A52</f>
        <v>25 Nov 2025 S Mullah email: gold content less than or equal to 1 gram/dmt, no payment applies.  For gold content above 1 g/dmt up to 3g/dmt buyer pays for 90% of the agreed gold content.  Sliding scale for gold content above 3 g/dmt.</v>
      </c>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c r="AB232" s="64"/>
      <c r="AC232" s="64"/>
      <c r="AD232" s="64"/>
    </row>
    <row r="233" spans="1:30" outlineLevel="1">
      <c r="A233" s="247" t="str">
        <f>'Expected NPV &amp; Common Data'!A53</f>
        <v>gold deduction</v>
      </c>
      <c r="B233" s="247" t="str">
        <f>'Expected NPV &amp; Common Data'!B53</f>
        <v>% of Au total content</v>
      </c>
      <c r="C233" s="247"/>
      <c r="D233" s="262">
        <f>'Expected NPV &amp; Common Data'!D53</f>
        <v>1</v>
      </c>
      <c r="E233" s="262">
        <f>'Expected NPV &amp; Common Data'!E53</f>
        <v>1</v>
      </c>
      <c r="F233" s="262">
        <f>'Expected NPV &amp; Common Data'!F53</f>
        <v>1</v>
      </c>
      <c r="G233" s="262">
        <f>'Expected NPV &amp; Common Data'!G53</f>
        <v>1</v>
      </c>
      <c r="H233" s="262">
        <f>'Expected NPV &amp; Common Data'!H53</f>
        <v>1</v>
      </c>
      <c r="I233" s="262">
        <f>'Expected NPV &amp; Common Data'!I53</f>
        <v>1</v>
      </c>
      <c r="J233" s="262">
        <f>'Expected NPV &amp; Common Data'!J53</f>
        <v>1</v>
      </c>
      <c r="K233" s="262">
        <f>'Expected NPV &amp; Common Data'!K53</f>
        <v>1</v>
      </c>
      <c r="L233" s="262">
        <f>'Expected NPV &amp; Common Data'!L53</f>
        <v>1</v>
      </c>
      <c r="M233" s="262">
        <f>'Expected NPV &amp; Common Data'!M53</f>
        <v>1</v>
      </c>
      <c r="N233" s="262">
        <f>'Expected NPV &amp; Common Data'!N53</f>
        <v>1</v>
      </c>
      <c r="O233" s="262">
        <f>'Expected NPV &amp; Common Data'!O53</f>
        <v>1</v>
      </c>
      <c r="P233" s="262">
        <f>'Expected NPV &amp; Common Data'!P53</f>
        <v>1</v>
      </c>
      <c r="Q233" s="262">
        <f>'Expected NPV &amp; Common Data'!Q53</f>
        <v>1</v>
      </c>
      <c r="R233" s="262">
        <f>'Expected NPV &amp; Common Data'!R53</f>
        <v>1</v>
      </c>
      <c r="S233" s="262">
        <f>'Expected NPV &amp; Common Data'!S53</f>
        <v>1</v>
      </c>
      <c r="T233" s="262">
        <f>'Expected NPV &amp; Common Data'!T53</f>
        <v>1</v>
      </c>
      <c r="U233" s="262">
        <f>'Expected NPV &amp; Common Data'!U53</f>
        <v>1</v>
      </c>
      <c r="V233" s="262">
        <f>'Expected NPV &amp; Common Data'!V53</f>
        <v>1</v>
      </c>
      <c r="W233" s="262">
        <f>'Expected NPV &amp; Common Data'!W53</f>
        <v>1</v>
      </c>
      <c r="X233" s="262">
        <f>'Expected NPV &amp; Common Data'!X53</f>
        <v>1</v>
      </c>
      <c r="Y233" s="262">
        <f>'Expected NPV &amp; Common Data'!Y53</f>
        <v>1</v>
      </c>
      <c r="Z233" s="262">
        <f>'Expected NPV &amp; Common Data'!Z53</f>
        <v>1</v>
      </c>
      <c r="AA233" s="262">
        <f>'Expected NPV &amp; Common Data'!AA53</f>
        <v>1</v>
      </c>
      <c r="AB233" s="262">
        <f>'Expected NPV &amp; Common Data'!AB53</f>
        <v>1</v>
      </c>
      <c r="AC233" s="262">
        <f>'Expected NPV &amp; Common Data'!AC53</f>
        <v>1</v>
      </c>
      <c r="AD233" s="262">
        <f>'Expected NPV &amp; Common Data'!AD53</f>
        <v>1</v>
      </c>
    </row>
    <row r="234" spans="1:30" outlineLevel="1">
      <c r="A234" s="247" t="str">
        <f>'Expected NPV &amp; Common Data'!A54</f>
        <v>Copper concentrate &lt;XX g/t Au</v>
      </c>
      <c r="B234" s="247" t="str">
        <f>'Expected NPV &amp; Common Data'!B54</f>
        <v>g/t Au</v>
      </c>
      <c r="C234" s="247"/>
      <c r="D234" s="248">
        <f>'Expected NPV &amp; Common Data'!D54</f>
        <v>1</v>
      </c>
      <c r="E234" s="248">
        <f>'Expected NPV &amp; Common Data'!E54</f>
        <v>1</v>
      </c>
      <c r="F234" s="248">
        <f>'Expected NPV &amp; Common Data'!F54</f>
        <v>1</v>
      </c>
      <c r="G234" s="248">
        <f>'Expected NPV &amp; Common Data'!G54</f>
        <v>1</v>
      </c>
      <c r="H234" s="248">
        <f>'Expected NPV &amp; Common Data'!H54</f>
        <v>1</v>
      </c>
      <c r="I234" s="248">
        <f>'Expected NPV &amp; Common Data'!I54</f>
        <v>1</v>
      </c>
      <c r="J234" s="248">
        <f>'Expected NPV &amp; Common Data'!J54</f>
        <v>1</v>
      </c>
      <c r="K234" s="248">
        <f>'Expected NPV &amp; Common Data'!K54</f>
        <v>1</v>
      </c>
      <c r="L234" s="248">
        <f>'Expected NPV &amp; Common Data'!L54</f>
        <v>1</v>
      </c>
      <c r="M234" s="248">
        <f>'Expected NPV &amp; Common Data'!M54</f>
        <v>1</v>
      </c>
      <c r="N234" s="248">
        <f>'Expected NPV &amp; Common Data'!N54</f>
        <v>1</v>
      </c>
      <c r="O234" s="248">
        <f>'Expected NPV &amp; Common Data'!O54</f>
        <v>1</v>
      </c>
      <c r="P234" s="248">
        <f>'Expected NPV &amp; Common Data'!P54</f>
        <v>1</v>
      </c>
      <c r="Q234" s="248">
        <f>'Expected NPV &amp; Common Data'!Q54</f>
        <v>1</v>
      </c>
      <c r="R234" s="248">
        <f>'Expected NPV &amp; Common Data'!R54</f>
        <v>1</v>
      </c>
      <c r="S234" s="248">
        <f>'Expected NPV &amp; Common Data'!S54</f>
        <v>1</v>
      </c>
      <c r="T234" s="248">
        <f>'Expected NPV &amp; Common Data'!T54</f>
        <v>1</v>
      </c>
      <c r="U234" s="248">
        <f>'Expected NPV &amp; Common Data'!U54</f>
        <v>1</v>
      </c>
      <c r="V234" s="248">
        <f>'Expected NPV &amp; Common Data'!V54</f>
        <v>1</v>
      </c>
      <c r="W234" s="248">
        <f>'Expected NPV &amp; Common Data'!W54</f>
        <v>1</v>
      </c>
      <c r="X234" s="248">
        <f>'Expected NPV &amp; Common Data'!X54</f>
        <v>1</v>
      </c>
      <c r="Y234" s="248">
        <f>'Expected NPV &amp; Common Data'!Y54</f>
        <v>1</v>
      </c>
      <c r="Z234" s="248">
        <f>'Expected NPV &amp; Common Data'!Z54</f>
        <v>1</v>
      </c>
      <c r="AA234" s="248">
        <f>'Expected NPV &amp; Common Data'!AA54</f>
        <v>1</v>
      </c>
      <c r="AB234" s="248">
        <f>'Expected NPV &amp; Common Data'!AB54</f>
        <v>1</v>
      </c>
      <c r="AC234" s="248">
        <f>'Expected NPV &amp; Common Data'!AC54</f>
        <v>1</v>
      </c>
      <c r="AD234" s="248">
        <f>'Expected NPV &amp; Common Data'!AD54</f>
        <v>1</v>
      </c>
    </row>
    <row r="235" spans="1:30" outlineLevel="1">
      <c r="A235" s="247" t="str">
        <f>'Expected NPV &amp; Common Data'!A55</f>
        <v>gold deduction</v>
      </c>
      <c r="B235" s="247" t="str">
        <f>'Expected NPV &amp; Common Data'!B55</f>
        <v>% of Au total content</v>
      </c>
      <c r="C235" s="247"/>
      <c r="D235" s="262">
        <f>'Expected NPV &amp; Common Data'!D55</f>
        <v>0.1</v>
      </c>
      <c r="E235" s="262">
        <f>'Expected NPV &amp; Common Data'!E55</f>
        <v>0.1</v>
      </c>
      <c r="F235" s="262">
        <f>'Expected NPV &amp; Common Data'!F55</f>
        <v>0.1</v>
      </c>
      <c r="G235" s="262">
        <f>'Expected NPV &amp; Common Data'!G55</f>
        <v>0.1</v>
      </c>
      <c r="H235" s="262">
        <f>'Expected NPV &amp; Common Data'!H55</f>
        <v>0.1</v>
      </c>
      <c r="I235" s="262">
        <f>'Expected NPV &amp; Common Data'!I55</f>
        <v>0.1</v>
      </c>
      <c r="J235" s="262">
        <f>'Expected NPV &amp; Common Data'!J55</f>
        <v>0.1</v>
      </c>
      <c r="K235" s="262">
        <f>'Expected NPV &amp; Common Data'!K55</f>
        <v>0.1</v>
      </c>
      <c r="L235" s="262">
        <f>'Expected NPV &amp; Common Data'!L55</f>
        <v>0.1</v>
      </c>
      <c r="M235" s="262">
        <f>'Expected NPV &amp; Common Data'!M55</f>
        <v>0.1</v>
      </c>
      <c r="N235" s="262">
        <f>'Expected NPV &amp; Common Data'!N55</f>
        <v>0.1</v>
      </c>
      <c r="O235" s="262">
        <f>'Expected NPV &amp; Common Data'!O55</f>
        <v>0.1</v>
      </c>
      <c r="P235" s="262">
        <f>'Expected NPV &amp; Common Data'!P55</f>
        <v>0.1</v>
      </c>
      <c r="Q235" s="262">
        <f>'Expected NPV &amp; Common Data'!Q55</f>
        <v>0.1</v>
      </c>
      <c r="R235" s="262">
        <f>'Expected NPV &amp; Common Data'!R55</f>
        <v>0.1</v>
      </c>
      <c r="S235" s="262">
        <f>'Expected NPV &amp; Common Data'!S55</f>
        <v>0.1</v>
      </c>
      <c r="T235" s="262">
        <f>'Expected NPV &amp; Common Data'!T55</f>
        <v>0.1</v>
      </c>
      <c r="U235" s="262">
        <f>'Expected NPV &amp; Common Data'!U55</f>
        <v>0.1</v>
      </c>
      <c r="V235" s="262">
        <f>'Expected NPV &amp; Common Data'!V55</f>
        <v>0.1</v>
      </c>
      <c r="W235" s="262">
        <f>'Expected NPV &amp; Common Data'!W55</f>
        <v>0.1</v>
      </c>
      <c r="X235" s="262">
        <f>'Expected NPV &amp; Common Data'!X55</f>
        <v>0.1</v>
      </c>
      <c r="Y235" s="262">
        <f>'Expected NPV &amp; Common Data'!Y55</f>
        <v>0.1</v>
      </c>
      <c r="Z235" s="262">
        <f>'Expected NPV &amp; Common Data'!Z55</f>
        <v>0.1</v>
      </c>
      <c r="AA235" s="262">
        <f>'Expected NPV &amp; Common Data'!AA55</f>
        <v>0.1</v>
      </c>
      <c r="AB235" s="262">
        <f>'Expected NPV &amp; Common Data'!AB55</f>
        <v>0.1</v>
      </c>
      <c r="AC235" s="262">
        <f>'Expected NPV &amp; Common Data'!AC55</f>
        <v>0.1</v>
      </c>
      <c r="AD235" s="262">
        <f>'Expected NPV &amp; Common Data'!AD55</f>
        <v>0.1</v>
      </c>
    </row>
    <row r="236" spans="1:30" outlineLevel="1">
      <c r="A236" s="247" t="str">
        <f>'Expected NPV &amp; Common Data'!A56</f>
        <v>Copper concentrate &lt;XX g/t Au</v>
      </c>
      <c r="B236" s="247" t="str">
        <f>'Expected NPV &amp; Common Data'!B56</f>
        <v>g/t Au</v>
      </c>
      <c r="C236" s="247"/>
      <c r="D236" s="248">
        <f>'Expected NPV &amp; Common Data'!D56</f>
        <v>3</v>
      </c>
      <c r="E236" s="248">
        <f>'Expected NPV &amp; Common Data'!E56</f>
        <v>3</v>
      </c>
      <c r="F236" s="248">
        <f>'Expected NPV &amp; Common Data'!F56</f>
        <v>3</v>
      </c>
      <c r="G236" s="248">
        <f>'Expected NPV &amp; Common Data'!G56</f>
        <v>3</v>
      </c>
      <c r="H236" s="248">
        <f>'Expected NPV &amp; Common Data'!H56</f>
        <v>3</v>
      </c>
      <c r="I236" s="248">
        <f>'Expected NPV &amp; Common Data'!I56</f>
        <v>3</v>
      </c>
      <c r="J236" s="248">
        <f>'Expected NPV &amp; Common Data'!J56</f>
        <v>3</v>
      </c>
      <c r="K236" s="248">
        <f>'Expected NPV &amp; Common Data'!K56</f>
        <v>3</v>
      </c>
      <c r="L236" s="248">
        <f>'Expected NPV &amp; Common Data'!L56</f>
        <v>3</v>
      </c>
      <c r="M236" s="248">
        <f>'Expected NPV &amp; Common Data'!M56</f>
        <v>3</v>
      </c>
      <c r="N236" s="248">
        <f>'Expected NPV &amp; Common Data'!N56</f>
        <v>3</v>
      </c>
      <c r="O236" s="248">
        <f>'Expected NPV &amp; Common Data'!O56</f>
        <v>3</v>
      </c>
      <c r="P236" s="248">
        <f>'Expected NPV &amp; Common Data'!P56</f>
        <v>3</v>
      </c>
      <c r="Q236" s="248">
        <f>'Expected NPV &amp; Common Data'!Q56</f>
        <v>3</v>
      </c>
      <c r="R236" s="248">
        <f>'Expected NPV &amp; Common Data'!R56</f>
        <v>3</v>
      </c>
      <c r="S236" s="248">
        <f>'Expected NPV &amp; Common Data'!S56</f>
        <v>3</v>
      </c>
      <c r="T236" s="248">
        <f>'Expected NPV &amp; Common Data'!T56</f>
        <v>3</v>
      </c>
      <c r="U236" s="248">
        <f>'Expected NPV &amp; Common Data'!U56</f>
        <v>3</v>
      </c>
      <c r="V236" s="248">
        <f>'Expected NPV &amp; Common Data'!V56</f>
        <v>3</v>
      </c>
      <c r="W236" s="248">
        <f>'Expected NPV &amp; Common Data'!W56</f>
        <v>3</v>
      </c>
      <c r="X236" s="248">
        <f>'Expected NPV &amp; Common Data'!X56</f>
        <v>3</v>
      </c>
      <c r="Y236" s="248">
        <f>'Expected NPV &amp; Common Data'!Y56</f>
        <v>3</v>
      </c>
      <c r="Z236" s="248">
        <f>'Expected NPV &amp; Common Data'!Z56</f>
        <v>3</v>
      </c>
      <c r="AA236" s="248">
        <f>'Expected NPV &amp; Common Data'!AA56</f>
        <v>3</v>
      </c>
      <c r="AB236" s="248">
        <f>'Expected NPV &amp; Common Data'!AB56</f>
        <v>3</v>
      </c>
      <c r="AC236" s="248">
        <f>'Expected NPV &amp; Common Data'!AC56</f>
        <v>3</v>
      </c>
      <c r="AD236" s="248">
        <f>'Expected NPV &amp; Common Data'!AD56</f>
        <v>3</v>
      </c>
    </row>
    <row r="237" spans="1:30" outlineLevel="1">
      <c r="A237" s="247" t="str">
        <f>'Expected NPV &amp; Common Data'!A57</f>
        <v>gold deduction</v>
      </c>
      <c r="B237" s="247" t="str">
        <f>'Expected NPV &amp; Common Data'!B57</f>
        <v>% of Au total content</v>
      </c>
      <c r="C237" s="247"/>
      <c r="D237" s="262">
        <f>'Expected NPV &amp; Common Data'!D57</f>
        <v>0.08</v>
      </c>
      <c r="E237" s="262">
        <f>'Expected NPV &amp; Common Data'!E57</f>
        <v>0.08</v>
      </c>
      <c r="F237" s="262">
        <f>'Expected NPV &amp; Common Data'!F57</f>
        <v>0.08</v>
      </c>
      <c r="G237" s="262">
        <f>'Expected NPV &amp; Common Data'!G57</f>
        <v>0.08</v>
      </c>
      <c r="H237" s="262">
        <f>'Expected NPV &amp; Common Data'!H57</f>
        <v>0.08</v>
      </c>
      <c r="I237" s="262">
        <f>'Expected NPV &amp; Common Data'!I57</f>
        <v>0.08</v>
      </c>
      <c r="J237" s="262">
        <f>'Expected NPV &amp; Common Data'!J57</f>
        <v>0.08</v>
      </c>
      <c r="K237" s="262">
        <f>'Expected NPV &amp; Common Data'!K57</f>
        <v>0.08</v>
      </c>
      <c r="L237" s="262">
        <f>'Expected NPV &amp; Common Data'!L57</f>
        <v>0.08</v>
      </c>
      <c r="M237" s="262">
        <f>'Expected NPV &amp; Common Data'!M57</f>
        <v>0.08</v>
      </c>
      <c r="N237" s="262">
        <f>'Expected NPV &amp; Common Data'!N57</f>
        <v>0.08</v>
      </c>
      <c r="O237" s="262">
        <f>'Expected NPV &amp; Common Data'!O57</f>
        <v>0.08</v>
      </c>
      <c r="P237" s="262">
        <f>'Expected NPV &amp; Common Data'!P57</f>
        <v>0.08</v>
      </c>
      <c r="Q237" s="262">
        <f>'Expected NPV &amp; Common Data'!Q57</f>
        <v>0.08</v>
      </c>
      <c r="R237" s="262">
        <f>'Expected NPV &amp; Common Data'!R57</f>
        <v>0.08</v>
      </c>
      <c r="S237" s="262">
        <f>'Expected NPV &amp; Common Data'!S57</f>
        <v>0.08</v>
      </c>
      <c r="T237" s="262">
        <f>'Expected NPV &amp; Common Data'!T57</f>
        <v>0.08</v>
      </c>
      <c r="U237" s="262">
        <f>'Expected NPV &amp; Common Data'!U57</f>
        <v>0.08</v>
      </c>
      <c r="V237" s="262">
        <f>'Expected NPV &amp; Common Data'!V57</f>
        <v>0.08</v>
      </c>
      <c r="W237" s="262">
        <f>'Expected NPV &amp; Common Data'!W57</f>
        <v>0.08</v>
      </c>
      <c r="X237" s="262">
        <f>'Expected NPV &amp; Common Data'!X57</f>
        <v>0.08</v>
      </c>
      <c r="Y237" s="262">
        <f>'Expected NPV &amp; Common Data'!Y57</f>
        <v>0.08</v>
      </c>
      <c r="Z237" s="262">
        <f>'Expected NPV &amp; Common Data'!Z57</f>
        <v>0.08</v>
      </c>
      <c r="AA237" s="262">
        <f>'Expected NPV &amp; Common Data'!AA57</f>
        <v>0.08</v>
      </c>
      <c r="AB237" s="262">
        <f>'Expected NPV &amp; Common Data'!AB57</f>
        <v>0.08</v>
      </c>
      <c r="AC237" s="262">
        <f>'Expected NPV &amp; Common Data'!AC57</f>
        <v>0.08</v>
      </c>
      <c r="AD237" s="262">
        <f>'Expected NPV &amp; Common Data'!AD57</f>
        <v>0.08</v>
      </c>
    </row>
    <row r="238" spans="1:30" outlineLevel="1">
      <c r="A238" s="247" t="str">
        <f>'Expected NPV &amp; Common Data'!A58</f>
        <v>Copper concentrate &lt;XX g/t Au</v>
      </c>
      <c r="B238" s="247" t="str">
        <f>'Expected NPV &amp; Common Data'!B58</f>
        <v>g/t Au</v>
      </c>
      <c r="C238" s="247"/>
      <c r="D238" s="248">
        <f>'Expected NPV &amp; Common Data'!D58</f>
        <v>5</v>
      </c>
      <c r="E238" s="248">
        <f>'Expected NPV &amp; Common Data'!E58</f>
        <v>5</v>
      </c>
      <c r="F238" s="248">
        <f>'Expected NPV &amp; Common Data'!F58</f>
        <v>5</v>
      </c>
      <c r="G238" s="248">
        <f>'Expected NPV &amp; Common Data'!G58</f>
        <v>5</v>
      </c>
      <c r="H238" s="248">
        <f>'Expected NPV &amp; Common Data'!H58</f>
        <v>5</v>
      </c>
      <c r="I238" s="248">
        <f>'Expected NPV &amp; Common Data'!I58</f>
        <v>5</v>
      </c>
      <c r="J238" s="248">
        <f>'Expected NPV &amp; Common Data'!J58</f>
        <v>5</v>
      </c>
      <c r="K238" s="248">
        <f>'Expected NPV &amp; Common Data'!K58</f>
        <v>5</v>
      </c>
      <c r="L238" s="248">
        <f>'Expected NPV &amp; Common Data'!L58</f>
        <v>5</v>
      </c>
      <c r="M238" s="248">
        <f>'Expected NPV &amp; Common Data'!M58</f>
        <v>5</v>
      </c>
      <c r="N238" s="248">
        <f>'Expected NPV &amp; Common Data'!N58</f>
        <v>5</v>
      </c>
      <c r="O238" s="248">
        <f>'Expected NPV &amp; Common Data'!O58</f>
        <v>5</v>
      </c>
      <c r="P238" s="248">
        <f>'Expected NPV &amp; Common Data'!P58</f>
        <v>5</v>
      </c>
      <c r="Q238" s="248">
        <f>'Expected NPV &amp; Common Data'!Q58</f>
        <v>5</v>
      </c>
      <c r="R238" s="248">
        <f>'Expected NPV &amp; Common Data'!R58</f>
        <v>5</v>
      </c>
      <c r="S238" s="248">
        <f>'Expected NPV &amp; Common Data'!S58</f>
        <v>5</v>
      </c>
      <c r="T238" s="248">
        <f>'Expected NPV &amp; Common Data'!T58</f>
        <v>5</v>
      </c>
      <c r="U238" s="248">
        <f>'Expected NPV &amp; Common Data'!U58</f>
        <v>5</v>
      </c>
      <c r="V238" s="248">
        <f>'Expected NPV &amp; Common Data'!V58</f>
        <v>5</v>
      </c>
      <c r="W238" s="248">
        <f>'Expected NPV &amp; Common Data'!W58</f>
        <v>5</v>
      </c>
      <c r="X238" s="248">
        <f>'Expected NPV &amp; Common Data'!X58</f>
        <v>5</v>
      </c>
      <c r="Y238" s="248">
        <f>'Expected NPV &amp; Common Data'!Y58</f>
        <v>5</v>
      </c>
      <c r="Z238" s="248">
        <f>'Expected NPV &amp; Common Data'!Z58</f>
        <v>5</v>
      </c>
      <c r="AA238" s="248">
        <f>'Expected NPV &amp; Common Data'!AA58</f>
        <v>5</v>
      </c>
      <c r="AB238" s="248">
        <f>'Expected NPV &amp; Common Data'!AB58</f>
        <v>5</v>
      </c>
      <c r="AC238" s="248">
        <f>'Expected NPV &amp; Common Data'!AC58</f>
        <v>5</v>
      </c>
      <c r="AD238" s="248">
        <f>'Expected NPV &amp; Common Data'!AD58</f>
        <v>5</v>
      </c>
    </row>
    <row r="239" spans="1:30" outlineLevel="1">
      <c r="A239" s="247" t="str">
        <f>'Expected NPV &amp; Common Data'!A59</f>
        <v>gold deduction</v>
      </c>
      <c r="B239" s="247" t="str">
        <f>'Expected NPV &amp; Common Data'!B59</f>
        <v>% of Au total content</v>
      </c>
      <c r="C239" s="247"/>
      <c r="D239" s="262">
        <f>'Expected NPV &amp; Common Data'!D59</f>
        <v>0.05</v>
      </c>
      <c r="E239" s="262">
        <f>'Expected NPV &amp; Common Data'!E59</f>
        <v>0.05</v>
      </c>
      <c r="F239" s="262">
        <f>'Expected NPV &amp; Common Data'!F59</f>
        <v>0.05</v>
      </c>
      <c r="G239" s="262">
        <f>'Expected NPV &amp; Common Data'!G59</f>
        <v>0.05</v>
      </c>
      <c r="H239" s="262">
        <f>'Expected NPV &amp; Common Data'!H59</f>
        <v>0.05</v>
      </c>
      <c r="I239" s="262">
        <f>'Expected NPV &amp; Common Data'!I59</f>
        <v>0.05</v>
      </c>
      <c r="J239" s="262">
        <f>'Expected NPV &amp; Common Data'!J59</f>
        <v>0.05</v>
      </c>
      <c r="K239" s="262">
        <f>'Expected NPV &amp; Common Data'!K59</f>
        <v>0.05</v>
      </c>
      <c r="L239" s="262">
        <f>'Expected NPV &amp; Common Data'!L59</f>
        <v>0.05</v>
      </c>
      <c r="M239" s="262">
        <f>'Expected NPV &amp; Common Data'!M59</f>
        <v>0.05</v>
      </c>
      <c r="N239" s="262">
        <f>'Expected NPV &amp; Common Data'!N59</f>
        <v>0.05</v>
      </c>
      <c r="O239" s="262">
        <f>'Expected NPV &amp; Common Data'!O59</f>
        <v>0.05</v>
      </c>
      <c r="P239" s="262">
        <f>'Expected NPV &amp; Common Data'!P59</f>
        <v>0.05</v>
      </c>
      <c r="Q239" s="262">
        <f>'Expected NPV &amp; Common Data'!Q59</f>
        <v>0.05</v>
      </c>
      <c r="R239" s="262">
        <f>'Expected NPV &amp; Common Data'!R59</f>
        <v>0.05</v>
      </c>
      <c r="S239" s="262">
        <f>'Expected NPV &amp; Common Data'!S59</f>
        <v>0.05</v>
      </c>
      <c r="T239" s="262">
        <f>'Expected NPV &amp; Common Data'!T59</f>
        <v>0.05</v>
      </c>
      <c r="U239" s="262">
        <f>'Expected NPV &amp; Common Data'!U59</f>
        <v>0.05</v>
      </c>
      <c r="V239" s="262">
        <f>'Expected NPV &amp; Common Data'!V59</f>
        <v>0.05</v>
      </c>
      <c r="W239" s="262">
        <f>'Expected NPV &amp; Common Data'!W59</f>
        <v>0.05</v>
      </c>
      <c r="X239" s="262">
        <f>'Expected NPV &amp; Common Data'!X59</f>
        <v>0.05</v>
      </c>
      <c r="Y239" s="262">
        <f>'Expected NPV &amp; Common Data'!Y59</f>
        <v>0.05</v>
      </c>
      <c r="Z239" s="262">
        <f>'Expected NPV &amp; Common Data'!Z59</f>
        <v>0.05</v>
      </c>
      <c r="AA239" s="262">
        <f>'Expected NPV &amp; Common Data'!AA59</f>
        <v>0.05</v>
      </c>
      <c r="AB239" s="262">
        <f>'Expected NPV &amp; Common Data'!AB59</f>
        <v>0.05</v>
      </c>
      <c r="AC239" s="262">
        <f>'Expected NPV &amp; Common Data'!AC59</f>
        <v>0.05</v>
      </c>
      <c r="AD239" s="262">
        <f>'Expected NPV &amp; Common Data'!AD59</f>
        <v>0.05</v>
      </c>
    </row>
    <row r="240" spans="1:30" outlineLevel="1">
      <c r="A240" s="247" t="str">
        <f>'Expected NPV &amp; Common Data'!A60</f>
        <v>Copper concentrate &lt;XX g/t Au</v>
      </c>
      <c r="B240" s="247" t="str">
        <f>'Expected NPV &amp; Common Data'!B60</f>
        <v>g/t Au</v>
      </c>
      <c r="C240" s="247"/>
      <c r="D240" s="248">
        <f>'Expected NPV &amp; Common Data'!D60</f>
        <v>10</v>
      </c>
      <c r="E240" s="248">
        <f>'Expected NPV &amp; Common Data'!E60</f>
        <v>10</v>
      </c>
      <c r="F240" s="248">
        <f>'Expected NPV &amp; Common Data'!F60</f>
        <v>10</v>
      </c>
      <c r="G240" s="248">
        <f>'Expected NPV &amp; Common Data'!G60</f>
        <v>10</v>
      </c>
      <c r="H240" s="248">
        <f>'Expected NPV &amp; Common Data'!H60</f>
        <v>10</v>
      </c>
      <c r="I240" s="248">
        <f>'Expected NPV &amp; Common Data'!I60</f>
        <v>10</v>
      </c>
      <c r="J240" s="248">
        <f>'Expected NPV &amp; Common Data'!J60</f>
        <v>10</v>
      </c>
      <c r="K240" s="248">
        <f>'Expected NPV &amp; Common Data'!K60</f>
        <v>10</v>
      </c>
      <c r="L240" s="248">
        <f>'Expected NPV &amp; Common Data'!L60</f>
        <v>10</v>
      </c>
      <c r="M240" s="248">
        <f>'Expected NPV &amp; Common Data'!M60</f>
        <v>10</v>
      </c>
      <c r="N240" s="248">
        <f>'Expected NPV &amp; Common Data'!N60</f>
        <v>10</v>
      </c>
      <c r="O240" s="248">
        <f>'Expected NPV &amp; Common Data'!O60</f>
        <v>10</v>
      </c>
      <c r="P240" s="248">
        <f>'Expected NPV &amp; Common Data'!P60</f>
        <v>10</v>
      </c>
      <c r="Q240" s="248">
        <f>'Expected NPV &amp; Common Data'!Q60</f>
        <v>10</v>
      </c>
      <c r="R240" s="248">
        <f>'Expected NPV &amp; Common Data'!R60</f>
        <v>10</v>
      </c>
      <c r="S240" s="248">
        <f>'Expected NPV &amp; Common Data'!S60</f>
        <v>10</v>
      </c>
      <c r="T240" s="248">
        <f>'Expected NPV &amp; Common Data'!T60</f>
        <v>10</v>
      </c>
      <c r="U240" s="248">
        <f>'Expected NPV &amp; Common Data'!U60</f>
        <v>10</v>
      </c>
      <c r="V240" s="248">
        <f>'Expected NPV &amp; Common Data'!V60</f>
        <v>10</v>
      </c>
      <c r="W240" s="248">
        <f>'Expected NPV &amp; Common Data'!W60</f>
        <v>10</v>
      </c>
      <c r="X240" s="248">
        <f>'Expected NPV &amp; Common Data'!X60</f>
        <v>10</v>
      </c>
      <c r="Y240" s="248">
        <f>'Expected NPV &amp; Common Data'!Y60</f>
        <v>10</v>
      </c>
      <c r="Z240" s="248">
        <f>'Expected NPV &amp; Common Data'!Z60</f>
        <v>10</v>
      </c>
      <c r="AA240" s="248">
        <f>'Expected NPV &amp; Common Data'!AA60</f>
        <v>10</v>
      </c>
      <c r="AB240" s="248">
        <f>'Expected NPV &amp; Common Data'!AB60</f>
        <v>10</v>
      </c>
      <c r="AC240" s="248">
        <f>'Expected NPV &amp; Common Data'!AC60</f>
        <v>10</v>
      </c>
      <c r="AD240" s="248">
        <f>'Expected NPV &amp; Common Data'!AD60</f>
        <v>10</v>
      </c>
    </row>
    <row r="241" spans="1:30" outlineLevel="1">
      <c r="A241" s="247" t="str">
        <f>'Expected NPV &amp; Common Data'!A61</f>
        <v>gold deduction</v>
      </c>
      <c r="B241" s="247" t="str">
        <f>'Expected NPV &amp; Common Data'!B61</f>
        <v>% of Au total content</v>
      </c>
      <c r="C241" s="247"/>
      <c r="D241" s="262">
        <f>'Expected NPV &amp; Common Data'!D61</f>
        <v>0.03</v>
      </c>
      <c r="E241" s="262">
        <f>'Expected NPV &amp; Common Data'!E61</f>
        <v>0.03</v>
      </c>
      <c r="F241" s="262">
        <f>'Expected NPV &amp; Common Data'!F61</f>
        <v>0.03</v>
      </c>
      <c r="G241" s="262">
        <f>'Expected NPV &amp; Common Data'!G61</f>
        <v>0.03</v>
      </c>
      <c r="H241" s="262">
        <f>'Expected NPV &amp; Common Data'!H61</f>
        <v>0.03</v>
      </c>
      <c r="I241" s="262">
        <f>'Expected NPV &amp; Common Data'!I61</f>
        <v>0.03</v>
      </c>
      <c r="J241" s="262">
        <f>'Expected NPV &amp; Common Data'!J61</f>
        <v>0.03</v>
      </c>
      <c r="K241" s="262">
        <f>'Expected NPV &amp; Common Data'!K61</f>
        <v>0.03</v>
      </c>
      <c r="L241" s="262">
        <f>'Expected NPV &amp; Common Data'!L61</f>
        <v>0.03</v>
      </c>
      <c r="M241" s="262">
        <f>'Expected NPV &amp; Common Data'!M61</f>
        <v>0.03</v>
      </c>
      <c r="N241" s="262">
        <f>'Expected NPV &amp; Common Data'!N61</f>
        <v>0.03</v>
      </c>
      <c r="O241" s="262">
        <f>'Expected NPV &amp; Common Data'!O61</f>
        <v>0.03</v>
      </c>
      <c r="P241" s="262">
        <f>'Expected NPV &amp; Common Data'!P61</f>
        <v>0.03</v>
      </c>
      <c r="Q241" s="262">
        <f>'Expected NPV &amp; Common Data'!Q61</f>
        <v>0.03</v>
      </c>
      <c r="R241" s="262">
        <f>'Expected NPV &amp; Common Data'!R61</f>
        <v>0.03</v>
      </c>
      <c r="S241" s="262">
        <f>'Expected NPV &amp; Common Data'!S61</f>
        <v>0.03</v>
      </c>
      <c r="T241" s="262">
        <f>'Expected NPV &amp; Common Data'!T61</f>
        <v>0.03</v>
      </c>
      <c r="U241" s="262">
        <f>'Expected NPV &amp; Common Data'!U61</f>
        <v>0.03</v>
      </c>
      <c r="V241" s="262">
        <f>'Expected NPV &amp; Common Data'!V61</f>
        <v>0.03</v>
      </c>
      <c r="W241" s="262">
        <f>'Expected NPV &amp; Common Data'!W61</f>
        <v>0.03</v>
      </c>
      <c r="X241" s="262">
        <f>'Expected NPV &amp; Common Data'!X61</f>
        <v>0.03</v>
      </c>
      <c r="Y241" s="262">
        <f>'Expected NPV &amp; Common Data'!Y61</f>
        <v>0.03</v>
      </c>
      <c r="Z241" s="262">
        <f>'Expected NPV &amp; Common Data'!Z61</f>
        <v>0.03</v>
      </c>
      <c r="AA241" s="262">
        <f>'Expected NPV &amp; Common Data'!AA61</f>
        <v>0.03</v>
      </c>
      <c r="AB241" s="262">
        <f>'Expected NPV &amp; Common Data'!AB61</f>
        <v>0.03</v>
      </c>
      <c r="AC241" s="262">
        <f>'Expected NPV &amp; Common Data'!AC61</f>
        <v>0.03</v>
      </c>
      <c r="AD241" s="262">
        <f>'Expected NPV &amp; Common Data'!AD61</f>
        <v>0.03</v>
      </c>
    </row>
    <row r="242" spans="1:30" outlineLevel="1">
      <c r="A242" s="247" t="str">
        <f>'Expected NPV &amp; Common Data'!A62</f>
        <v>Copper concentrate &lt;XX g/t Au</v>
      </c>
      <c r="B242" s="247" t="str">
        <f>'Expected NPV &amp; Common Data'!B62</f>
        <v>g/t Au</v>
      </c>
      <c r="C242" s="247"/>
      <c r="D242" s="248">
        <f>'Expected NPV &amp; Common Data'!D62</f>
        <v>20</v>
      </c>
      <c r="E242" s="248">
        <f>'Expected NPV &amp; Common Data'!E62</f>
        <v>20</v>
      </c>
      <c r="F242" s="248">
        <f>'Expected NPV &amp; Common Data'!F62</f>
        <v>20</v>
      </c>
      <c r="G242" s="248">
        <f>'Expected NPV &amp; Common Data'!G62</f>
        <v>20</v>
      </c>
      <c r="H242" s="248">
        <f>'Expected NPV &amp; Common Data'!H62</f>
        <v>20</v>
      </c>
      <c r="I242" s="248">
        <f>'Expected NPV &amp; Common Data'!I62</f>
        <v>20</v>
      </c>
      <c r="J242" s="248">
        <f>'Expected NPV &amp; Common Data'!J62</f>
        <v>20</v>
      </c>
      <c r="K242" s="248">
        <f>'Expected NPV &amp; Common Data'!K62</f>
        <v>20</v>
      </c>
      <c r="L242" s="248">
        <f>'Expected NPV &amp; Common Data'!L62</f>
        <v>20</v>
      </c>
      <c r="M242" s="248">
        <f>'Expected NPV &amp; Common Data'!M62</f>
        <v>20</v>
      </c>
      <c r="N242" s="248">
        <f>'Expected NPV &amp; Common Data'!N62</f>
        <v>20</v>
      </c>
      <c r="O242" s="248">
        <f>'Expected NPV &amp; Common Data'!O62</f>
        <v>20</v>
      </c>
      <c r="P242" s="248">
        <f>'Expected NPV &amp; Common Data'!P62</f>
        <v>20</v>
      </c>
      <c r="Q242" s="248">
        <f>'Expected NPV &amp; Common Data'!Q62</f>
        <v>20</v>
      </c>
      <c r="R242" s="248">
        <f>'Expected NPV &amp; Common Data'!R62</f>
        <v>20</v>
      </c>
      <c r="S242" s="248">
        <f>'Expected NPV &amp; Common Data'!S62</f>
        <v>20</v>
      </c>
      <c r="T242" s="248">
        <f>'Expected NPV &amp; Common Data'!T62</f>
        <v>20</v>
      </c>
      <c r="U242" s="248">
        <f>'Expected NPV &amp; Common Data'!U62</f>
        <v>20</v>
      </c>
      <c r="V242" s="248">
        <f>'Expected NPV &amp; Common Data'!V62</f>
        <v>20</v>
      </c>
      <c r="W242" s="248">
        <f>'Expected NPV &amp; Common Data'!W62</f>
        <v>20</v>
      </c>
      <c r="X242" s="248">
        <f>'Expected NPV &amp; Common Data'!X62</f>
        <v>20</v>
      </c>
      <c r="Y242" s="248">
        <f>'Expected NPV &amp; Common Data'!Y62</f>
        <v>20</v>
      </c>
      <c r="Z242" s="248">
        <f>'Expected NPV &amp; Common Data'!Z62</f>
        <v>20</v>
      </c>
      <c r="AA242" s="248">
        <f>'Expected NPV &amp; Common Data'!AA62</f>
        <v>20</v>
      </c>
      <c r="AB242" s="248">
        <f>'Expected NPV &amp; Common Data'!AB62</f>
        <v>20</v>
      </c>
      <c r="AC242" s="248">
        <f>'Expected NPV &amp; Common Data'!AC62</f>
        <v>20</v>
      </c>
      <c r="AD242" s="248">
        <f>'Expected NPV &amp; Common Data'!AD62</f>
        <v>20</v>
      </c>
    </row>
    <row r="243" spans="1:30" outlineLevel="1">
      <c r="A243" s="247" t="str">
        <f>'Expected NPV &amp; Common Data'!A63</f>
        <v>gold deduction</v>
      </c>
      <c r="B243" s="247" t="str">
        <f>'Expected NPV &amp; Common Data'!B63</f>
        <v>% of Au total content</v>
      </c>
      <c r="C243" s="247"/>
      <c r="D243" s="263">
        <f>'Expected NPV &amp; Common Data'!D63</f>
        <v>2.5000000000000001E-2</v>
      </c>
      <c r="E243" s="263">
        <f>'Expected NPV &amp; Common Data'!E63</f>
        <v>2.5000000000000001E-2</v>
      </c>
      <c r="F243" s="263">
        <f>'Expected NPV &amp; Common Data'!F63</f>
        <v>2.5000000000000001E-2</v>
      </c>
      <c r="G243" s="263">
        <f>'Expected NPV &amp; Common Data'!G63</f>
        <v>2.5000000000000001E-2</v>
      </c>
      <c r="H243" s="263">
        <f>'Expected NPV &amp; Common Data'!H63</f>
        <v>2.5000000000000001E-2</v>
      </c>
      <c r="I243" s="263">
        <f>'Expected NPV &amp; Common Data'!I63</f>
        <v>2.5000000000000001E-2</v>
      </c>
      <c r="J243" s="263">
        <f>'Expected NPV &amp; Common Data'!J63</f>
        <v>2.5000000000000001E-2</v>
      </c>
      <c r="K243" s="263">
        <f>'Expected NPV &amp; Common Data'!K63</f>
        <v>2.5000000000000001E-2</v>
      </c>
      <c r="L243" s="263">
        <f>'Expected NPV &amp; Common Data'!L63</f>
        <v>2.5000000000000001E-2</v>
      </c>
      <c r="M243" s="263">
        <f>'Expected NPV &amp; Common Data'!M63</f>
        <v>2.5000000000000001E-2</v>
      </c>
      <c r="N243" s="263">
        <f>'Expected NPV &amp; Common Data'!N63</f>
        <v>2.5000000000000001E-2</v>
      </c>
      <c r="O243" s="263">
        <f>'Expected NPV &amp; Common Data'!O63</f>
        <v>2.5000000000000001E-2</v>
      </c>
      <c r="P243" s="263">
        <f>'Expected NPV &amp; Common Data'!P63</f>
        <v>2.5000000000000001E-2</v>
      </c>
      <c r="Q243" s="263">
        <f>'Expected NPV &amp; Common Data'!Q63</f>
        <v>2.5000000000000001E-2</v>
      </c>
      <c r="R243" s="263">
        <f>'Expected NPV &amp; Common Data'!R63</f>
        <v>2.5000000000000001E-2</v>
      </c>
      <c r="S243" s="263">
        <f>'Expected NPV &amp; Common Data'!S63</f>
        <v>2.5000000000000001E-2</v>
      </c>
      <c r="T243" s="263">
        <f>'Expected NPV &amp; Common Data'!T63</f>
        <v>2.5000000000000001E-2</v>
      </c>
      <c r="U243" s="263">
        <f>'Expected NPV &amp; Common Data'!U63</f>
        <v>2.5000000000000001E-2</v>
      </c>
      <c r="V243" s="263">
        <f>'Expected NPV &amp; Common Data'!V63</f>
        <v>2.5000000000000001E-2</v>
      </c>
      <c r="W243" s="263">
        <f>'Expected NPV &amp; Common Data'!W63</f>
        <v>2.5000000000000001E-2</v>
      </c>
      <c r="X243" s="263">
        <f>'Expected NPV &amp; Common Data'!X63</f>
        <v>2.5000000000000001E-2</v>
      </c>
      <c r="Y243" s="263">
        <f>'Expected NPV &amp; Common Data'!Y63</f>
        <v>2.5000000000000001E-2</v>
      </c>
      <c r="Z243" s="263">
        <f>'Expected NPV &amp; Common Data'!Z63</f>
        <v>2.5000000000000001E-2</v>
      </c>
      <c r="AA243" s="263">
        <f>'Expected NPV &amp; Common Data'!AA63</f>
        <v>2.5000000000000001E-2</v>
      </c>
      <c r="AB243" s="263">
        <f>'Expected NPV &amp; Common Data'!AB63</f>
        <v>2.5000000000000001E-2</v>
      </c>
      <c r="AC243" s="263">
        <f>'Expected NPV &amp; Common Data'!AC63</f>
        <v>2.5000000000000001E-2</v>
      </c>
      <c r="AD243" s="263">
        <f>'Expected NPV &amp; Common Data'!AD63</f>
        <v>2.5000000000000001E-2</v>
      </c>
    </row>
    <row r="244" spans="1:30" outlineLevel="1">
      <c r="C244" s="44"/>
      <c r="D244" s="42"/>
      <c r="E244" s="42"/>
      <c r="F244" s="42"/>
      <c r="G244" s="42"/>
      <c r="H244" s="42"/>
      <c r="I244" s="42"/>
      <c r="J244" s="42"/>
      <c r="K244" s="42"/>
      <c r="L244" s="42"/>
      <c r="M244" s="42"/>
      <c r="N244" s="42"/>
      <c r="O244" s="42"/>
      <c r="P244" s="42"/>
      <c r="Q244" s="42"/>
      <c r="R244" s="42"/>
      <c r="S244" s="42"/>
      <c r="T244" s="42"/>
      <c r="U244" s="42"/>
      <c r="V244" s="42"/>
      <c r="W244" s="42"/>
      <c r="X244" s="42"/>
      <c r="Y244" s="42"/>
      <c r="Z244" s="42"/>
      <c r="AA244" s="42"/>
      <c r="AB244" s="42"/>
      <c r="AC244" s="42"/>
      <c r="AD244" s="42"/>
    </row>
    <row r="245" spans="1:30" outlineLevel="1">
      <c r="A245" s="13" t="s">
        <v>57</v>
      </c>
      <c r="B245" s="13" t="s">
        <v>66</v>
      </c>
      <c r="C245" s="38"/>
      <c r="D245" s="51">
        <f t="shared" ref="D245:AD245" si="78">IF(D167&lt;D234,D233,IF(D167&lt;D236,D235,IF(D167&lt;D238,D237,IF(D167&lt;D240,D239,IF(D167&lt;D242,D241,D243)))))</f>
        <v>1</v>
      </c>
      <c r="E245" s="51">
        <f t="shared" si="78"/>
        <v>1</v>
      </c>
      <c r="F245" s="51">
        <f t="shared" si="78"/>
        <v>0.05</v>
      </c>
      <c r="G245" s="51">
        <f t="shared" si="78"/>
        <v>0.05</v>
      </c>
      <c r="H245" s="51">
        <f t="shared" si="78"/>
        <v>0.05</v>
      </c>
      <c r="I245" s="51">
        <f t="shared" si="78"/>
        <v>0.05</v>
      </c>
      <c r="J245" s="51">
        <f t="shared" si="78"/>
        <v>0.05</v>
      </c>
      <c r="K245" s="51">
        <f t="shared" si="78"/>
        <v>0.05</v>
      </c>
      <c r="L245" s="51">
        <f t="shared" si="78"/>
        <v>0.05</v>
      </c>
      <c r="M245" s="51">
        <f t="shared" si="78"/>
        <v>0.05</v>
      </c>
      <c r="N245" s="51">
        <f t="shared" si="78"/>
        <v>0.05</v>
      </c>
      <c r="O245" s="51">
        <f t="shared" si="78"/>
        <v>0.05</v>
      </c>
      <c r="P245" s="51">
        <f t="shared" si="78"/>
        <v>0.05</v>
      </c>
      <c r="Q245" s="51">
        <f t="shared" si="78"/>
        <v>0.05</v>
      </c>
      <c r="R245" s="51">
        <f t="shared" si="78"/>
        <v>0.05</v>
      </c>
      <c r="S245" s="51">
        <f t="shared" si="78"/>
        <v>0.05</v>
      </c>
      <c r="T245" s="51">
        <f t="shared" si="78"/>
        <v>0.05</v>
      </c>
      <c r="U245" s="51">
        <f t="shared" si="78"/>
        <v>1</v>
      </c>
      <c r="V245" s="51">
        <f t="shared" si="78"/>
        <v>1</v>
      </c>
      <c r="W245" s="51">
        <f t="shared" si="78"/>
        <v>1</v>
      </c>
      <c r="X245" s="51">
        <f t="shared" si="78"/>
        <v>1</v>
      </c>
      <c r="Y245" s="51">
        <f t="shared" si="78"/>
        <v>1</v>
      </c>
      <c r="Z245" s="51">
        <f t="shared" si="78"/>
        <v>1</v>
      </c>
      <c r="AA245" s="51">
        <f t="shared" si="78"/>
        <v>1</v>
      </c>
      <c r="AB245" s="51">
        <f t="shared" si="78"/>
        <v>1</v>
      </c>
      <c r="AC245" s="51">
        <f t="shared" si="78"/>
        <v>1</v>
      </c>
      <c r="AD245" s="51">
        <f t="shared" si="78"/>
        <v>1</v>
      </c>
    </row>
    <row r="246" spans="1:30" outlineLevel="1">
      <c r="A246" s="13" t="s">
        <v>58</v>
      </c>
      <c r="B246" s="13" t="s">
        <v>36</v>
      </c>
      <c r="C246" s="44"/>
      <c r="D246" s="56">
        <f t="shared" ref="D246:AD246" si="79">D167*(1-D245)</f>
        <v>0</v>
      </c>
      <c r="E246" s="56">
        <f t="shared" si="79"/>
        <v>0</v>
      </c>
      <c r="F246" s="57">
        <f t="shared" si="79"/>
        <v>5.9053385416666675</v>
      </c>
      <c r="G246" s="56">
        <f t="shared" si="79"/>
        <v>5.9053385416666657</v>
      </c>
      <c r="H246" s="56">
        <f t="shared" si="79"/>
        <v>5.9053385416666657</v>
      </c>
      <c r="I246" s="56">
        <f t="shared" si="79"/>
        <v>5.9053385416666657</v>
      </c>
      <c r="J246" s="56">
        <f t="shared" si="79"/>
        <v>5.9053385416666666</v>
      </c>
      <c r="K246" s="56">
        <f t="shared" si="79"/>
        <v>5.7162291666666665</v>
      </c>
      <c r="L246" s="56">
        <f t="shared" si="79"/>
        <v>5.5218749999999988</v>
      </c>
      <c r="M246" s="56">
        <f t="shared" si="79"/>
        <v>5.5218749999999988</v>
      </c>
      <c r="N246" s="56">
        <f t="shared" si="79"/>
        <v>5.5218749999999988</v>
      </c>
      <c r="O246" s="56">
        <f t="shared" si="79"/>
        <v>5.5218749999999988</v>
      </c>
      <c r="P246" s="56">
        <f t="shared" si="79"/>
        <v>5.5497749999999995</v>
      </c>
      <c r="Q246" s="56">
        <f t="shared" si="79"/>
        <v>5.2708806818181815</v>
      </c>
      <c r="R246" s="56">
        <f t="shared" si="79"/>
        <v>5.2708806818181815</v>
      </c>
      <c r="S246" s="56">
        <f t="shared" si="79"/>
        <v>5.2708806818181815</v>
      </c>
      <c r="T246" s="56">
        <f t="shared" si="79"/>
        <v>5.2708806818181824</v>
      </c>
      <c r="U246" s="56">
        <f t="shared" si="79"/>
        <v>0</v>
      </c>
      <c r="V246" s="56">
        <f t="shared" si="79"/>
        <v>0</v>
      </c>
      <c r="W246" s="56">
        <f t="shared" si="79"/>
        <v>0</v>
      </c>
      <c r="X246" s="56">
        <f t="shared" si="79"/>
        <v>0</v>
      </c>
      <c r="Y246" s="56">
        <f t="shared" si="79"/>
        <v>0</v>
      </c>
      <c r="Z246" s="56">
        <f t="shared" si="79"/>
        <v>0</v>
      </c>
      <c r="AA246" s="56">
        <f t="shared" si="79"/>
        <v>0</v>
      </c>
      <c r="AB246" s="56">
        <f t="shared" si="79"/>
        <v>0</v>
      </c>
      <c r="AC246" s="56">
        <f t="shared" si="79"/>
        <v>0</v>
      </c>
      <c r="AD246" s="56">
        <f t="shared" si="79"/>
        <v>0</v>
      </c>
    </row>
    <row r="247" spans="1:30" outlineLevel="1">
      <c r="A247" s="13" t="str">
        <f>A101</f>
        <v>Gold price forecast - mid case</v>
      </c>
      <c r="B247" s="13" t="str">
        <f>B101</f>
        <v>US$/ oz real</v>
      </c>
      <c r="C247" s="44"/>
      <c r="D247" s="42">
        <f t="shared" ref="D247:AD247" si="80">D101</f>
        <v>2000</v>
      </c>
      <c r="E247" s="42">
        <f t="shared" si="80"/>
        <v>2000</v>
      </c>
      <c r="F247" s="42">
        <f t="shared" si="80"/>
        <v>2000</v>
      </c>
      <c r="G247" s="42">
        <f t="shared" si="80"/>
        <v>2000</v>
      </c>
      <c r="H247" s="42">
        <f t="shared" si="80"/>
        <v>2000</v>
      </c>
      <c r="I247" s="42">
        <f t="shared" si="80"/>
        <v>2000</v>
      </c>
      <c r="J247" s="42">
        <f t="shared" si="80"/>
        <v>2000</v>
      </c>
      <c r="K247" s="42">
        <f t="shared" si="80"/>
        <v>2000</v>
      </c>
      <c r="L247" s="42">
        <f t="shared" si="80"/>
        <v>2000</v>
      </c>
      <c r="M247" s="42">
        <f t="shared" si="80"/>
        <v>2000</v>
      </c>
      <c r="N247" s="42">
        <f t="shared" si="80"/>
        <v>2000</v>
      </c>
      <c r="O247" s="42">
        <f t="shared" si="80"/>
        <v>2000</v>
      </c>
      <c r="P247" s="42">
        <f t="shared" si="80"/>
        <v>2000</v>
      </c>
      <c r="Q247" s="42">
        <f t="shared" si="80"/>
        <v>2000</v>
      </c>
      <c r="R247" s="42">
        <f t="shared" si="80"/>
        <v>2000</v>
      </c>
      <c r="S247" s="42">
        <f t="shared" si="80"/>
        <v>2000</v>
      </c>
      <c r="T247" s="42">
        <f t="shared" si="80"/>
        <v>2000</v>
      </c>
      <c r="U247" s="42">
        <f t="shared" si="80"/>
        <v>2000</v>
      </c>
      <c r="V247" s="42">
        <f t="shared" si="80"/>
        <v>2000</v>
      </c>
      <c r="W247" s="42">
        <f t="shared" si="80"/>
        <v>2000</v>
      </c>
      <c r="X247" s="42">
        <f t="shared" si="80"/>
        <v>2000</v>
      </c>
      <c r="Y247" s="42">
        <f t="shared" si="80"/>
        <v>2000</v>
      </c>
      <c r="Z247" s="42">
        <f t="shared" si="80"/>
        <v>2000</v>
      </c>
      <c r="AA247" s="42">
        <f t="shared" si="80"/>
        <v>2000</v>
      </c>
      <c r="AB247" s="42">
        <f t="shared" si="80"/>
        <v>2000</v>
      </c>
      <c r="AC247" s="42">
        <f t="shared" si="80"/>
        <v>2000</v>
      </c>
      <c r="AD247" s="42">
        <f t="shared" si="80"/>
        <v>2000</v>
      </c>
    </row>
    <row r="248" spans="1:30" s="14" customFormat="1" outlineLevel="1">
      <c r="A248" s="14" t="s">
        <v>213</v>
      </c>
      <c r="B248" s="13" t="s">
        <v>207</v>
      </c>
      <c r="C248" s="92"/>
      <c r="D248" s="55">
        <f t="shared" ref="D248:AD248" si="81">D246/31.1*D247</f>
        <v>0</v>
      </c>
      <c r="E248" s="55">
        <f t="shared" si="81"/>
        <v>0</v>
      </c>
      <c r="F248" s="55">
        <f t="shared" si="81"/>
        <v>379.7645364415863</v>
      </c>
      <c r="G248" s="55">
        <f t="shared" si="81"/>
        <v>379.76453644158619</v>
      </c>
      <c r="H248" s="55">
        <f t="shared" si="81"/>
        <v>379.76453644158619</v>
      </c>
      <c r="I248" s="55">
        <f t="shared" si="81"/>
        <v>379.76453644158619</v>
      </c>
      <c r="J248" s="55">
        <f t="shared" si="81"/>
        <v>379.76453644158624</v>
      </c>
      <c r="K248" s="55">
        <f t="shared" si="81"/>
        <v>367.60316184351547</v>
      </c>
      <c r="L248" s="55">
        <f t="shared" si="81"/>
        <v>355.10450160771694</v>
      </c>
      <c r="M248" s="55">
        <f t="shared" si="81"/>
        <v>355.10450160771694</v>
      </c>
      <c r="N248" s="55">
        <f t="shared" si="81"/>
        <v>355.10450160771694</v>
      </c>
      <c r="O248" s="55">
        <f t="shared" si="81"/>
        <v>355.10450160771694</v>
      </c>
      <c r="P248" s="55">
        <f t="shared" si="81"/>
        <v>356.89871382636653</v>
      </c>
      <c r="Q248" s="55">
        <f t="shared" si="81"/>
        <v>338.96338789827536</v>
      </c>
      <c r="R248" s="55">
        <f t="shared" si="81"/>
        <v>338.96338789827536</v>
      </c>
      <c r="S248" s="55">
        <f t="shared" si="81"/>
        <v>338.96338789827536</v>
      </c>
      <c r="T248" s="55">
        <f t="shared" si="81"/>
        <v>338.96338789827541</v>
      </c>
      <c r="U248" s="55">
        <f t="shared" si="81"/>
        <v>0</v>
      </c>
      <c r="V248" s="55">
        <f t="shared" si="81"/>
        <v>0</v>
      </c>
      <c r="W248" s="55">
        <f t="shared" si="81"/>
        <v>0</v>
      </c>
      <c r="X248" s="55">
        <f t="shared" si="81"/>
        <v>0</v>
      </c>
      <c r="Y248" s="55">
        <f t="shared" si="81"/>
        <v>0</v>
      </c>
      <c r="Z248" s="55">
        <f t="shared" si="81"/>
        <v>0</v>
      </c>
      <c r="AA248" s="55">
        <f t="shared" si="81"/>
        <v>0</v>
      </c>
      <c r="AB248" s="55">
        <f t="shared" si="81"/>
        <v>0</v>
      </c>
      <c r="AC248" s="55">
        <f t="shared" si="81"/>
        <v>0</v>
      </c>
      <c r="AD248" s="55">
        <f t="shared" si="81"/>
        <v>0</v>
      </c>
    </row>
    <row r="249" spans="1:30" outlineLevel="1">
      <c r="A249" s="14"/>
      <c r="D249" s="44"/>
      <c r="E249" s="44"/>
      <c r="F249" s="44"/>
      <c r="G249" s="44"/>
      <c r="H249" s="44"/>
      <c r="I249" s="44"/>
      <c r="J249" s="44"/>
      <c r="K249" s="44"/>
      <c r="L249" s="44"/>
      <c r="M249" s="44"/>
      <c r="N249" s="44"/>
      <c r="O249" s="44"/>
      <c r="P249" s="44"/>
      <c r="Q249" s="44"/>
      <c r="R249" s="44"/>
      <c r="S249" s="44"/>
      <c r="T249" s="44"/>
      <c r="U249" s="44"/>
      <c r="V249" s="44"/>
      <c r="W249" s="44"/>
      <c r="X249" s="44"/>
      <c r="Y249" s="44"/>
      <c r="Z249" s="44"/>
      <c r="AA249" s="44"/>
      <c r="AB249" s="44"/>
      <c r="AC249" s="44"/>
      <c r="AD249" s="44"/>
    </row>
    <row r="250" spans="1:30" outlineLevel="1">
      <c r="A250" s="50" t="s">
        <v>59</v>
      </c>
      <c r="C250" s="44"/>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2"/>
      <c r="AC250" s="42"/>
      <c r="AD250" s="42"/>
    </row>
    <row r="251" spans="1:30" outlineLevel="1">
      <c r="A251" s="13" t="str">
        <f t="shared" ref="A251:AD251" si="82">A168</f>
        <v>copper concentrate grade - silver</v>
      </c>
      <c r="B251" s="13" t="str">
        <f t="shared" si="82"/>
        <v>g/t Ag</v>
      </c>
      <c r="C251" s="56">
        <f t="shared" si="82"/>
        <v>24.485032850630205</v>
      </c>
      <c r="D251" s="42">
        <f t="shared" si="82"/>
        <v>0</v>
      </c>
      <c r="E251" s="42">
        <f t="shared" si="82"/>
        <v>0</v>
      </c>
      <c r="F251" s="42">
        <f t="shared" si="82"/>
        <v>47.703598484848492</v>
      </c>
      <c r="G251" s="42">
        <f t="shared" si="82"/>
        <v>47.703598484848484</v>
      </c>
      <c r="H251" s="42">
        <f t="shared" si="82"/>
        <v>47.703598484848484</v>
      </c>
      <c r="I251" s="42">
        <f t="shared" si="82"/>
        <v>47.703598484848484</v>
      </c>
      <c r="J251" s="42">
        <f t="shared" si="82"/>
        <v>47.703598484848492</v>
      </c>
      <c r="K251" s="42">
        <f t="shared" si="82"/>
        <v>33.484848484848492</v>
      </c>
      <c r="L251" s="42">
        <f t="shared" si="82"/>
        <v>18.871753246753244</v>
      </c>
      <c r="M251" s="42">
        <f t="shared" si="82"/>
        <v>18.871753246753244</v>
      </c>
      <c r="N251" s="42">
        <f t="shared" si="82"/>
        <v>18.871753246753244</v>
      </c>
      <c r="O251" s="42">
        <f t="shared" si="82"/>
        <v>18.871753246753244</v>
      </c>
      <c r="P251" s="42">
        <f t="shared" si="82"/>
        <v>20.969497607655509</v>
      </c>
      <c r="Q251" s="42">
        <f t="shared" si="82"/>
        <v>0</v>
      </c>
      <c r="R251" s="42">
        <f t="shared" si="82"/>
        <v>0</v>
      </c>
      <c r="S251" s="42">
        <f t="shared" si="82"/>
        <v>0</v>
      </c>
      <c r="T251" s="42">
        <f t="shared" si="82"/>
        <v>0</v>
      </c>
      <c r="U251" s="42">
        <f t="shared" si="82"/>
        <v>0</v>
      </c>
      <c r="V251" s="42">
        <f t="shared" si="82"/>
        <v>0</v>
      </c>
      <c r="W251" s="42">
        <f t="shared" si="82"/>
        <v>0</v>
      </c>
      <c r="X251" s="42">
        <f t="shared" si="82"/>
        <v>0</v>
      </c>
      <c r="Y251" s="42">
        <f t="shared" si="82"/>
        <v>0</v>
      </c>
      <c r="Z251" s="42">
        <f t="shared" si="82"/>
        <v>0</v>
      </c>
      <c r="AA251" s="42">
        <f t="shared" si="82"/>
        <v>0</v>
      </c>
      <c r="AB251" s="42">
        <f t="shared" si="82"/>
        <v>0</v>
      </c>
      <c r="AC251" s="42">
        <f t="shared" si="82"/>
        <v>0</v>
      </c>
      <c r="AD251" s="42">
        <f t="shared" si="82"/>
        <v>0</v>
      </c>
    </row>
    <row r="252" spans="1:30" s="134" customFormat="1" outlineLevel="1">
      <c r="A252" s="63" t="str">
        <f>'Expected NPV &amp; Common Data'!A66</f>
        <v xml:space="preserve">25 Nov 2025 S Mullah email: Buyer shall pay for 90% of the final silver content, subject to a minimum deduction of 30 g per DMT, at the London Silver Spot/US Cents Quotation.
</v>
      </c>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c r="AA252" s="64"/>
      <c r="AB252" s="64"/>
      <c r="AC252" s="64"/>
      <c r="AD252" s="64"/>
    </row>
    <row r="253" spans="1:30" outlineLevel="1">
      <c r="A253" s="247" t="str">
        <f>'Expected NPV &amp; Common Data'!A67</f>
        <v>Pay lesser of xx% of contained silver</v>
      </c>
      <c r="B253" s="247" t="str">
        <f>'Expected NPV &amp; Common Data'!B67</f>
        <v>% of Ag total content</v>
      </c>
      <c r="C253" s="247"/>
      <c r="D253" s="262">
        <f>'Expected NPV &amp; Common Data'!D67</f>
        <v>0.9</v>
      </c>
      <c r="E253" s="262">
        <f>'Expected NPV &amp; Common Data'!E67</f>
        <v>0.9</v>
      </c>
      <c r="F253" s="262">
        <f>'Expected NPV &amp; Common Data'!F67</f>
        <v>0.9</v>
      </c>
      <c r="G253" s="262">
        <f>'Expected NPV &amp; Common Data'!G67</f>
        <v>0.9</v>
      </c>
      <c r="H253" s="262">
        <f>'Expected NPV &amp; Common Data'!H67</f>
        <v>0.9</v>
      </c>
      <c r="I253" s="262">
        <f>'Expected NPV &amp; Common Data'!I67</f>
        <v>0.9</v>
      </c>
      <c r="J253" s="262">
        <f>'Expected NPV &amp; Common Data'!J67</f>
        <v>0.9</v>
      </c>
      <c r="K253" s="262">
        <f>'Expected NPV &amp; Common Data'!K67</f>
        <v>0.9</v>
      </c>
      <c r="L253" s="262">
        <f>'Expected NPV &amp; Common Data'!L67</f>
        <v>0.9</v>
      </c>
      <c r="M253" s="262">
        <f>'Expected NPV &amp; Common Data'!M67</f>
        <v>0.9</v>
      </c>
      <c r="N253" s="262">
        <f>'Expected NPV &amp; Common Data'!N67</f>
        <v>0.9</v>
      </c>
      <c r="O253" s="262">
        <f>'Expected NPV &amp; Common Data'!O67</f>
        <v>0.9</v>
      </c>
      <c r="P253" s="262">
        <f>'Expected NPV &amp; Common Data'!P67</f>
        <v>0.9</v>
      </c>
      <c r="Q253" s="262">
        <f>'Expected NPV &amp; Common Data'!Q67</f>
        <v>0.9</v>
      </c>
      <c r="R253" s="262">
        <f>'Expected NPV &amp; Common Data'!R67</f>
        <v>0.9</v>
      </c>
      <c r="S253" s="262">
        <f>'Expected NPV &amp; Common Data'!S67</f>
        <v>0.9</v>
      </c>
      <c r="T253" s="262">
        <f>'Expected NPV &amp; Common Data'!T67</f>
        <v>0.9</v>
      </c>
      <c r="U253" s="262">
        <f>'Expected NPV &amp; Common Data'!U67</f>
        <v>0.9</v>
      </c>
      <c r="V253" s="262">
        <f>'Expected NPV &amp; Common Data'!V67</f>
        <v>0.9</v>
      </c>
      <c r="W253" s="262">
        <f>'Expected NPV &amp; Common Data'!W67</f>
        <v>0.9</v>
      </c>
      <c r="X253" s="262">
        <f>'Expected NPV &amp; Common Data'!X67</f>
        <v>0.9</v>
      </c>
      <c r="Y253" s="262">
        <f>'Expected NPV &amp; Common Data'!Y67</f>
        <v>0.9</v>
      </c>
      <c r="Z253" s="262">
        <f>'Expected NPV &amp; Common Data'!Z67</f>
        <v>0.9</v>
      </c>
      <c r="AA253" s="262">
        <f>'Expected NPV &amp; Common Data'!AA67</f>
        <v>0.9</v>
      </c>
      <c r="AB253" s="262">
        <f>'Expected NPV &amp; Common Data'!AB67</f>
        <v>0.9</v>
      </c>
      <c r="AC253" s="262">
        <f>'Expected NPV &amp; Common Data'!AC67</f>
        <v>0.9</v>
      </c>
      <c r="AD253" s="262">
        <f>'Expected NPV &amp; Common Data'!AD67</f>
        <v>0.9</v>
      </c>
    </row>
    <row r="254" spans="1:30" outlineLevel="1">
      <c r="A254" s="247" t="str">
        <f>'Expected NPV &amp; Common Data'!A68</f>
        <v>OR minimum deduction …. g/t Ag</v>
      </c>
      <c r="B254" s="247"/>
      <c r="C254" s="248"/>
      <c r="D254" s="248">
        <f>'Expected NPV &amp; Common Data'!D68</f>
        <v>30</v>
      </c>
      <c r="E254" s="248">
        <f>'Expected NPV &amp; Common Data'!E68</f>
        <v>30</v>
      </c>
      <c r="F254" s="248">
        <f>'Expected NPV &amp; Common Data'!F68</f>
        <v>30</v>
      </c>
      <c r="G254" s="248">
        <f>'Expected NPV &amp; Common Data'!G68</f>
        <v>30</v>
      </c>
      <c r="H254" s="248">
        <f>'Expected NPV &amp; Common Data'!H68</f>
        <v>30</v>
      </c>
      <c r="I254" s="248">
        <f>'Expected NPV &amp; Common Data'!I68</f>
        <v>30</v>
      </c>
      <c r="J254" s="248">
        <f>'Expected NPV &amp; Common Data'!J68</f>
        <v>30</v>
      </c>
      <c r="K254" s="248">
        <f>'Expected NPV &amp; Common Data'!K68</f>
        <v>30</v>
      </c>
      <c r="L254" s="248">
        <f>'Expected NPV &amp; Common Data'!L68</f>
        <v>30</v>
      </c>
      <c r="M254" s="248">
        <f>'Expected NPV &amp; Common Data'!M68</f>
        <v>30</v>
      </c>
      <c r="N254" s="248">
        <f>'Expected NPV &amp; Common Data'!N68</f>
        <v>30</v>
      </c>
      <c r="O254" s="248">
        <f>'Expected NPV &amp; Common Data'!O68</f>
        <v>30</v>
      </c>
      <c r="P254" s="248">
        <f>'Expected NPV &amp; Common Data'!P68</f>
        <v>30</v>
      </c>
      <c r="Q254" s="248">
        <f>'Expected NPV &amp; Common Data'!Q68</f>
        <v>30</v>
      </c>
      <c r="R254" s="248">
        <f>'Expected NPV &amp; Common Data'!R68</f>
        <v>30</v>
      </c>
      <c r="S254" s="248">
        <f>'Expected NPV &amp; Common Data'!S68</f>
        <v>30</v>
      </c>
      <c r="T254" s="248">
        <f>'Expected NPV &amp; Common Data'!T68</f>
        <v>30</v>
      </c>
      <c r="U254" s="248">
        <f>'Expected NPV &amp; Common Data'!U68</f>
        <v>30</v>
      </c>
      <c r="V254" s="248">
        <f>'Expected NPV &amp; Common Data'!V68</f>
        <v>30</v>
      </c>
      <c r="W254" s="248">
        <f>'Expected NPV &amp; Common Data'!W68</f>
        <v>30</v>
      </c>
      <c r="X254" s="248">
        <f>'Expected NPV &amp; Common Data'!X68</f>
        <v>30</v>
      </c>
      <c r="Y254" s="248">
        <f>'Expected NPV &amp; Common Data'!Y68</f>
        <v>30</v>
      </c>
      <c r="Z254" s="248">
        <f>'Expected NPV &amp; Common Data'!Z68</f>
        <v>30</v>
      </c>
      <c r="AA254" s="248">
        <f>'Expected NPV &amp; Common Data'!AA68</f>
        <v>30</v>
      </c>
      <c r="AB254" s="248">
        <f>'Expected NPV &amp; Common Data'!AB68</f>
        <v>30</v>
      </c>
      <c r="AC254" s="248">
        <f>'Expected NPV &amp; Common Data'!AC68</f>
        <v>30</v>
      </c>
      <c r="AD254" s="248">
        <f>'Expected NPV &amp; Common Data'!AD68</f>
        <v>30</v>
      </c>
    </row>
    <row r="255" spans="1:30" outlineLevel="1">
      <c r="A255" s="13" t="s">
        <v>211</v>
      </c>
      <c r="B255" s="13" t="s">
        <v>37</v>
      </c>
      <c r="C255" s="44"/>
      <c r="D255" s="42">
        <f t="shared" ref="D255:AD255" si="83">MAX(0,MIN(D168*D253,D168-D254))</f>
        <v>0</v>
      </c>
      <c r="E255" s="42">
        <f t="shared" si="83"/>
        <v>0</v>
      </c>
      <c r="F255" s="42">
        <f t="shared" si="83"/>
        <v>17.703598484848492</v>
      </c>
      <c r="G255" s="42">
        <f t="shared" si="83"/>
        <v>17.703598484848484</v>
      </c>
      <c r="H255" s="42">
        <f t="shared" si="83"/>
        <v>17.703598484848484</v>
      </c>
      <c r="I255" s="42">
        <f t="shared" si="83"/>
        <v>17.703598484848484</v>
      </c>
      <c r="J255" s="42">
        <f t="shared" si="83"/>
        <v>17.703598484848492</v>
      </c>
      <c r="K255" s="42">
        <f t="shared" si="83"/>
        <v>3.4848484848484915</v>
      </c>
      <c r="L255" s="42">
        <f t="shared" si="83"/>
        <v>0</v>
      </c>
      <c r="M255" s="42">
        <f t="shared" si="83"/>
        <v>0</v>
      </c>
      <c r="N255" s="42">
        <f t="shared" si="83"/>
        <v>0</v>
      </c>
      <c r="O255" s="42">
        <f t="shared" si="83"/>
        <v>0</v>
      </c>
      <c r="P255" s="42">
        <f t="shared" si="83"/>
        <v>0</v>
      </c>
      <c r="Q255" s="42">
        <f t="shared" si="83"/>
        <v>0</v>
      </c>
      <c r="R255" s="42">
        <f t="shared" si="83"/>
        <v>0</v>
      </c>
      <c r="S255" s="42">
        <f t="shared" si="83"/>
        <v>0</v>
      </c>
      <c r="T255" s="42">
        <f t="shared" si="83"/>
        <v>0</v>
      </c>
      <c r="U255" s="42">
        <f t="shared" si="83"/>
        <v>0</v>
      </c>
      <c r="V255" s="42">
        <f t="shared" si="83"/>
        <v>0</v>
      </c>
      <c r="W255" s="42">
        <f t="shared" si="83"/>
        <v>0</v>
      </c>
      <c r="X255" s="42">
        <f t="shared" si="83"/>
        <v>0</v>
      </c>
      <c r="Y255" s="42">
        <f t="shared" si="83"/>
        <v>0</v>
      </c>
      <c r="Z255" s="42">
        <f t="shared" si="83"/>
        <v>0</v>
      </c>
      <c r="AA255" s="42">
        <f t="shared" si="83"/>
        <v>0</v>
      </c>
      <c r="AB255" s="42">
        <f t="shared" si="83"/>
        <v>0</v>
      </c>
      <c r="AC255" s="42">
        <f t="shared" si="83"/>
        <v>0</v>
      </c>
      <c r="AD255" s="42">
        <f t="shared" si="83"/>
        <v>0</v>
      </c>
    </row>
    <row r="256" spans="1:30" outlineLevel="1">
      <c r="A256" s="13" t="str">
        <f>A102</f>
        <v>Silver price forecast - mid case</v>
      </c>
      <c r="B256" s="13" t="str">
        <f>B102</f>
        <v>US$/ oz real</v>
      </c>
      <c r="C256" s="44"/>
      <c r="D256" s="42">
        <f t="shared" ref="D256:AD256" si="84">D102</f>
        <v>25</v>
      </c>
      <c r="E256" s="42">
        <f t="shared" si="84"/>
        <v>25</v>
      </c>
      <c r="F256" s="42">
        <f t="shared" si="84"/>
        <v>25</v>
      </c>
      <c r="G256" s="42">
        <f t="shared" si="84"/>
        <v>25</v>
      </c>
      <c r="H256" s="42">
        <f t="shared" si="84"/>
        <v>25</v>
      </c>
      <c r="I256" s="42">
        <f t="shared" si="84"/>
        <v>25</v>
      </c>
      <c r="J256" s="42">
        <f t="shared" si="84"/>
        <v>25</v>
      </c>
      <c r="K256" s="42">
        <f t="shared" si="84"/>
        <v>25</v>
      </c>
      <c r="L256" s="42">
        <f t="shared" si="84"/>
        <v>25</v>
      </c>
      <c r="M256" s="42">
        <f t="shared" si="84"/>
        <v>25</v>
      </c>
      <c r="N256" s="42">
        <f t="shared" si="84"/>
        <v>25</v>
      </c>
      <c r="O256" s="42">
        <f t="shared" si="84"/>
        <v>25</v>
      </c>
      <c r="P256" s="42">
        <f t="shared" si="84"/>
        <v>25</v>
      </c>
      <c r="Q256" s="42">
        <f t="shared" si="84"/>
        <v>25</v>
      </c>
      <c r="R256" s="42">
        <f t="shared" si="84"/>
        <v>25</v>
      </c>
      <c r="S256" s="42">
        <f t="shared" si="84"/>
        <v>25</v>
      </c>
      <c r="T256" s="42">
        <f t="shared" si="84"/>
        <v>25</v>
      </c>
      <c r="U256" s="42">
        <f t="shared" si="84"/>
        <v>25</v>
      </c>
      <c r="V256" s="42">
        <f t="shared" si="84"/>
        <v>25</v>
      </c>
      <c r="W256" s="42">
        <f t="shared" si="84"/>
        <v>25</v>
      </c>
      <c r="X256" s="42">
        <f t="shared" si="84"/>
        <v>25</v>
      </c>
      <c r="Y256" s="42">
        <f t="shared" si="84"/>
        <v>25</v>
      </c>
      <c r="Z256" s="42">
        <f t="shared" si="84"/>
        <v>25</v>
      </c>
      <c r="AA256" s="42">
        <f t="shared" si="84"/>
        <v>25</v>
      </c>
      <c r="AB256" s="42">
        <f t="shared" si="84"/>
        <v>25</v>
      </c>
      <c r="AC256" s="42">
        <f t="shared" si="84"/>
        <v>25</v>
      </c>
      <c r="AD256" s="42">
        <f t="shared" si="84"/>
        <v>25</v>
      </c>
    </row>
    <row r="257" spans="1:30" s="14" customFormat="1" outlineLevel="1">
      <c r="A257" s="14" t="s">
        <v>211</v>
      </c>
      <c r="B257" s="13" t="s">
        <v>49</v>
      </c>
      <c r="C257" s="92"/>
      <c r="D257" s="55">
        <f t="shared" ref="D257:AD257" si="85">D255/31.1*D256</f>
        <v>0</v>
      </c>
      <c r="E257" s="55">
        <f t="shared" si="85"/>
        <v>0</v>
      </c>
      <c r="F257" s="55">
        <f t="shared" si="85"/>
        <v>14.231188492643481</v>
      </c>
      <c r="G257" s="55">
        <f t="shared" si="85"/>
        <v>14.231188492643476</v>
      </c>
      <c r="H257" s="55">
        <f t="shared" si="85"/>
        <v>14.231188492643476</v>
      </c>
      <c r="I257" s="55">
        <f t="shared" si="85"/>
        <v>14.231188492643476</v>
      </c>
      <c r="J257" s="55">
        <f t="shared" si="85"/>
        <v>14.231188492643481</v>
      </c>
      <c r="K257" s="55">
        <f t="shared" si="85"/>
        <v>2.801325148592035</v>
      </c>
      <c r="L257" s="55">
        <f t="shared" si="85"/>
        <v>0</v>
      </c>
      <c r="M257" s="55">
        <f t="shared" si="85"/>
        <v>0</v>
      </c>
      <c r="N257" s="55">
        <f t="shared" si="85"/>
        <v>0</v>
      </c>
      <c r="O257" s="55">
        <f t="shared" si="85"/>
        <v>0</v>
      </c>
      <c r="P257" s="55">
        <f t="shared" si="85"/>
        <v>0</v>
      </c>
      <c r="Q257" s="55">
        <f t="shared" si="85"/>
        <v>0</v>
      </c>
      <c r="R257" s="55">
        <f t="shared" si="85"/>
        <v>0</v>
      </c>
      <c r="S257" s="55">
        <f t="shared" si="85"/>
        <v>0</v>
      </c>
      <c r="T257" s="55">
        <f t="shared" si="85"/>
        <v>0</v>
      </c>
      <c r="U257" s="55">
        <f t="shared" si="85"/>
        <v>0</v>
      </c>
      <c r="V257" s="55">
        <f t="shared" si="85"/>
        <v>0</v>
      </c>
      <c r="W257" s="55">
        <f t="shared" si="85"/>
        <v>0</v>
      </c>
      <c r="X257" s="55">
        <f t="shared" si="85"/>
        <v>0</v>
      </c>
      <c r="Y257" s="55">
        <f t="shared" si="85"/>
        <v>0</v>
      </c>
      <c r="Z257" s="55">
        <f t="shared" si="85"/>
        <v>0</v>
      </c>
      <c r="AA257" s="55">
        <f t="shared" si="85"/>
        <v>0</v>
      </c>
      <c r="AB257" s="55">
        <f t="shared" si="85"/>
        <v>0</v>
      </c>
      <c r="AC257" s="55">
        <f t="shared" si="85"/>
        <v>0</v>
      </c>
      <c r="AD257" s="55">
        <f t="shared" si="85"/>
        <v>0</v>
      </c>
    </row>
    <row r="258" spans="1:30" outlineLevel="1">
      <c r="C258" s="44"/>
      <c r="D258" s="42"/>
      <c r="E258" s="42"/>
      <c r="F258" s="42"/>
      <c r="G258" s="42"/>
      <c r="H258" s="42"/>
      <c r="I258" s="42"/>
      <c r="J258" s="42"/>
      <c r="K258" s="42"/>
      <c r="L258" s="42"/>
      <c r="M258" s="42"/>
      <c r="N258" s="42"/>
      <c r="O258" s="42"/>
      <c r="P258" s="42"/>
      <c r="Q258" s="42"/>
      <c r="R258" s="42"/>
      <c r="S258" s="42"/>
      <c r="T258" s="42"/>
      <c r="U258" s="42"/>
      <c r="V258" s="42"/>
      <c r="W258" s="42"/>
      <c r="X258" s="42"/>
      <c r="Y258" s="42"/>
      <c r="Z258" s="42"/>
      <c r="AA258" s="42"/>
      <c r="AB258" s="42"/>
      <c r="AC258" s="42"/>
      <c r="AD258" s="42"/>
    </row>
    <row r="259" spans="1:30" s="126" customFormat="1" ht="28.75" customHeight="1" outlineLevel="1">
      <c r="A259" s="126" t="s">
        <v>71</v>
      </c>
      <c r="B259" s="32" t="s">
        <v>208</v>
      </c>
      <c r="C259" s="125"/>
      <c r="D259" s="138">
        <f t="shared" ref="D259:AD259" si="86">D228+D248+D257</f>
        <v>0</v>
      </c>
      <c r="E259" s="138">
        <f t="shared" si="86"/>
        <v>0</v>
      </c>
      <c r="F259" s="138">
        <f t="shared" si="86"/>
        <v>3036.1206409342299</v>
      </c>
      <c r="G259" s="138">
        <f t="shared" si="86"/>
        <v>3036.1206409342299</v>
      </c>
      <c r="H259" s="138">
        <f t="shared" si="86"/>
        <v>3036.1206409342299</v>
      </c>
      <c r="I259" s="138">
        <f t="shared" si="86"/>
        <v>3036.1206409342299</v>
      </c>
      <c r="J259" s="138">
        <f t="shared" si="86"/>
        <v>3036.1206409342299</v>
      </c>
      <c r="K259" s="138">
        <f t="shared" si="86"/>
        <v>3012.5294029921079</v>
      </c>
      <c r="L259" s="138">
        <f t="shared" si="86"/>
        <v>2997.2294176077171</v>
      </c>
      <c r="M259" s="138">
        <f t="shared" si="86"/>
        <v>2997.2294176077171</v>
      </c>
      <c r="N259" s="138">
        <f t="shared" si="86"/>
        <v>2997.2294176077171</v>
      </c>
      <c r="O259" s="138">
        <f t="shared" si="86"/>
        <v>2997.2294176077171</v>
      </c>
      <c r="P259" s="138">
        <f t="shared" si="86"/>
        <v>2999.0236298263667</v>
      </c>
      <c r="Q259" s="138">
        <f t="shared" si="86"/>
        <v>2981.0883038982756</v>
      </c>
      <c r="R259" s="138">
        <f t="shared" si="86"/>
        <v>2981.0883038982756</v>
      </c>
      <c r="S259" s="138">
        <f t="shared" si="86"/>
        <v>2981.0883038982756</v>
      </c>
      <c r="T259" s="138">
        <f t="shared" si="86"/>
        <v>2981.0883038982756</v>
      </c>
      <c r="U259" s="138">
        <f t="shared" si="86"/>
        <v>0</v>
      </c>
      <c r="V259" s="138">
        <f t="shared" si="86"/>
        <v>0</v>
      </c>
      <c r="W259" s="138">
        <f t="shared" si="86"/>
        <v>0</v>
      </c>
      <c r="X259" s="138">
        <f t="shared" si="86"/>
        <v>0</v>
      </c>
      <c r="Y259" s="138">
        <f t="shared" si="86"/>
        <v>0</v>
      </c>
      <c r="Z259" s="138">
        <f t="shared" si="86"/>
        <v>0</v>
      </c>
      <c r="AA259" s="138">
        <f t="shared" si="86"/>
        <v>0</v>
      </c>
      <c r="AB259" s="138">
        <f t="shared" si="86"/>
        <v>0</v>
      </c>
      <c r="AC259" s="138">
        <f t="shared" si="86"/>
        <v>0</v>
      </c>
      <c r="AD259" s="138">
        <f t="shared" si="86"/>
        <v>0</v>
      </c>
    </row>
    <row r="260" spans="1:30" outlineLevel="1">
      <c r="C260" s="44"/>
      <c r="D260" s="42"/>
      <c r="E260" s="42"/>
      <c r="F260" s="42"/>
      <c r="G260" s="42"/>
      <c r="H260" s="42"/>
      <c r="I260" s="42"/>
      <c r="J260" s="42"/>
      <c r="K260" s="42"/>
      <c r="L260" s="42"/>
      <c r="M260" s="42"/>
      <c r="N260" s="42"/>
      <c r="O260" s="42"/>
      <c r="P260" s="42"/>
      <c r="Q260" s="42"/>
      <c r="R260" s="42"/>
      <c r="S260" s="42"/>
      <c r="T260" s="42"/>
      <c r="U260" s="42"/>
      <c r="V260" s="42"/>
      <c r="W260" s="42"/>
      <c r="X260" s="42"/>
      <c r="Y260" s="42"/>
      <c r="Z260" s="42"/>
      <c r="AA260" s="42"/>
      <c r="AB260" s="42"/>
      <c r="AC260" s="42"/>
      <c r="AD260" s="42"/>
    </row>
    <row r="261" spans="1:30" outlineLevel="1">
      <c r="A261" s="50" t="s">
        <v>212</v>
      </c>
      <c r="C261" s="44"/>
      <c r="D261" s="42"/>
      <c r="E261" s="42"/>
      <c r="F261" s="42"/>
      <c r="G261" s="42"/>
      <c r="H261" s="42"/>
      <c r="I261" s="42"/>
      <c r="J261" s="42"/>
      <c r="K261" s="42"/>
      <c r="L261" s="42"/>
      <c r="M261" s="42"/>
      <c r="N261" s="42"/>
      <c r="O261" s="42"/>
      <c r="P261" s="42"/>
      <c r="Q261" s="42"/>
      <c r="R261" s="42"/>
      <c r="S261" s="42"/>
      <c r="T261" s="42"/>
      <c r="U261" s="42"/>
      <c r="V261" s="42"/>
      <c r="W261" s="42"/>
      <c r="X261" s="42"/>
      <c r="Y261" s="42"/>
      <c r="Z261" s="42"/>
      <c r="AA261" s="42"/>
      <c r="AB261" s="42"/>
      <c r="AC261" s="42"/>
      <c r="AD261" s="42"/>
    </row>
    <row r="262" spans="1:30" outlineLevel="1">
      <c r="A262" s="49" t="s">
        <v>64</v>
      </c>
      <c r="C262" s="44"/>
      <c r="D262" s="42"/>
      <c r="E262" s="42"/>
      <c r="F262" s="42"/>
      <c r="G262" s="42"/>
      <c r="H262" s="42"/>
      <c r="I262" s="42"/>
      <c r="J262" s="42"/>
      <c r="K262" s="42"/>
      <c r="L262" s="42"/>
      <c r="M262" s="42"/>
      <c r="N262" s="42"/>
      <c r="O262" s="42"/>
      <c r="P262" s="42"/>
      <c r="Q262" s="42"/>
      <c r="R262" s="42"/>
      <c r="S262" s="42"/>
      <c r="T262" s="42"/>
      <c r="U262" s="42"/>
      <c r="V262" s="42"/>
      <c r="W262" s="42"/>
      <c r="X262" s="42"/>
      <c r="Y262" s="42"/>
      <c r="Z262" s="42"/>
      <c r="AA262" s="42"/>
      <c r="AB262" s="42"/>
      <c r="AC262" s="42"/>
      <c r="AD262" s="42"/>
    </row>
    <row r="263" spans="1:30" s="14" customFormat="1" outlineLevel="1">
      <c r="A263" s="14" t="s">
        <v>69</v>
      </c>
      <c r="B263" s="13" t="s">
        <v>60</v>
      </c>
      <c r="C263" s="92"/>
      <c r="D263" s="55">
        <f t="shared" ref="D263:AD263" si="87">IF(D259=0,0,D105)</f>
        <v>0</v>
      </c>
      <c r="E263" s="55">
        <f t="shared" si="87"/>
        <v>0</v>
      </c>
      <c r="F263" s="55">
        <f t="shared" si="87"/>
        <v>80</v>
      </c>
      <c r="G263" s="55">
        <f t="shared" si="87"/>
        <v>80</v>
      </c>
      <c r="H263" s="55">
        <f t="shared" si="87"/>
        <v>80</v>
      </c>
      <c r="I263" s="55">
        <f t="shared" si="87"/>
        <v>80</v>
      </c>
      <c r="J263" s="55">
        <f t="shared" si="87"/>
        <v>80</v>
      </c>
      <c r="K263" s="55">
        <f t="shared" si="87"/>
        <v>80</v>
      </c>
      <c r="L263" s="55">
        <f t="shared" si="87"/>
        <v>80</v>
      </c>
      <c r="M263" s="55">
        <f t="shared" si="87"/>
        <v>80</v>
      </c>
      <c r="N263" s="55">
        <f t="shared" si="87"/>
        <v>80</v>
      </c>
      <c r="O263" s="55">
        <f t="shared" si="87"/>
        <v>80</v>
      </c>
      <c r="P263" s="55">
        <f t="shared" si="87"/>
        <v>80</v>
      </c>
      <c r="Q263" s="55">
        <f t="shared" si="87"/>
        <v>80</v>
      </c>
      <c r="R263" s="55">
        <f t="shared" si="87"/>
        <v>80</v>
      </c>
      <c r="S263" s="55">
        <f t="shared" si="87"/>
        <v>80</v>
      </c>
      <c r="T263" s="55">
        <f t="shared" si="87"/>
        <v>80</v>
      </c>
      <c r="U263" s="55">
        <f t="shared" si="87"/>
        <v>0</v>
      </c>
      <c r="V263" s="55">
        <f t="shared" si="87"/>
        <v>0</v>
      </c>
      <c r="W263" s="55">
        <f t="shared" si="87"/>
        <v>0</v>
      </c>
      <c r="X263" s="55">
        <f t="shared" si="87"/>
        <v>0</v>
      </c>
      <c r="Y263" s="55">
        <f t="shared" si="87"/>
        <v>0</v>
      </c>
      <c r="Z263" s="55">
        <f t="shared" si="87"/>
        <v>0</v>
      </c>
      <c r="AA263" s="55">
        <f t="shared" si="87"/>
        <v>0</v>
      </c>
      <c r="AB263" s="55">
        <f t="shared" si="87"/>
        <v>0</v>
      </c>
      <c r="AC263" s="55">
        <f t="shared" si="87"/>
        <v>0</v>
      </c>
      <c r="AD263" s="55">
        <f t="shared" si="87"/>
        <v>0</v>
      </c>
    </row>
    <row r="264" spans="1:30" outlineLevel="1">
      <c r="C264" s="44"/>
      <c r="D264" s="42"/>
      <c r="E264" s="42"/>
      <c r="F264" s="42"/>
      <c r="G264" s="42"/>
      <c r="H264" s="42"/>
      <c r="I264" s="42"/>
      <c r="J264" s="42"/>
      <c r="K264" s="42"/>
      <c r="L264" s="42"/>
      <c r="M264" s="42"/>
      <c r="N264" s="42"/>
      <c r="O264" s="42"/>
      <c r="P264" s="42"/>
      <c r="Q264" s="42"/>
      <c r="R264" s="42"/>
      <c r="S264" s="42"/>
      <c r="T264" s="42"/>
      <c r="U264" s="42"/>
      <c r="V264" s="42"/>
      <c r="W264" s="42"/>
      <c r="X264" s="42"/>
      <c r="Y264" s="42"/>
      <c r="Z264" s="42"/>
      <c r="AA264" s="42"/>
      <c r="AB264" s="42"/>
      <c r="AC264" s="42"/>
      <c r="AD264" s="42"/>
    </row>
    <row r="265" spans="1:30" outlineLevel="1">
      <c r="A265" s="13" t="str">
        <f>A226</f>
        <v>Concentrate's - copper payable</v>
      </c>
      <c r="B265" s="13" t="str">
        <f>B226</f>
        <v>% Cu per tonne concentrate</v>
      </c>
      <c r="C265" s="44"/>
      <c r="D265" s="47">
        <f t="shared" ref="D265:AD265" si="88">D226</f>
        <v>0</v>
      </c>
      <c r="E265" s="47">
        <f t="shared" si="88"/>
        <v>0</v>
      </c>
      <c r="F265" s="47">
        <f t="shared" si="88"/>
        <v>0.29961500000000002</v>
      </c>
      <c r="G265" s="47">
        <f t="shared" si="88"/>
        <v>0.29961500000000002</v>
      </c>
      <c r="H265" s="47">
        <f t="shared" si="88"/>
        <v>0.29961500000000002</v>
      </c>
      <c r="I265" s="47">
        <f t="shared" si="88"/>
        <v>0.29961500000000002</v>
      </c>
      <c r="J265" s="47">
        <f t="shared" si="88"/>
        <v>0.29961500000000002</v>
      </c>
      <c r="K265" s="47">
        <f t="shared" si="88"/>
        <v>0.29961500000000002</v>
      </c>
      <c r="L265" s="47">
        <f t="shared" si="88"/>
        <v>0.29961500000000002</v>
      </c>
      <c r="M265" s="47">
        <f t="shared" si="88"/>
        <v>0.29961500000000002</v>
      </c>
      <c r="N265" s="47">
        <f t="shared" si="88"/>
        <v>0.29961500000000002</v>
      </c>
      <c r="O265" s="47">
        <f t="shared" si="88"/>
        <v>0.29961500000000002</v>
      </c>
      <c r="P265" s="47">
        <f t="shared" si="88"/>
        <v>0.29961500000000002</v>
      </c>
      <c r="Q265" s="47">
        <f t="shared" si="88"/>
        <v>0.29961500000000002</v>
      </c>
      <c r="R265" s="47">
        <f t="shared" si="88"/>
        <v>0.29961500000000002</v>
      </c>
      <c r="S265" s="47">
        <f t="shared" si="88"/>
        <v>0.29961500000000002</v>
      </c>
      <c r="T265" s="47">
        <f t="shared" si="88"/>
        <v>0.29961500000000002</v>
      </c>
      <c r="U265" s="47">
        <f t="shared" si="88"/>
        <v>0</v>
      </c>
      <c r="V265" s="47">
        <f t="shared" si="88"/>
        <v>0</v>
      </c>
      <c r="W265" s="47">
        <f t="shared" si="88"/>
        <v>0</v>
      </c>
      <c r="X265" s="47">
        <f t="shared" si="88"/>
        <v>0</v>
      </c>
      <c r="Y265" s="47">
        <f t="shared" si="88"/>
        <v>0</v>
      </c>
      <c r="Z265" s="47">
        <f t="shared" si="88"/>
        <v>0</v>
      </c>
      <c r="AA265" s="47">
        <f t="shared" si="88"/>
        <v>0</v>
      </c>
      <c r="AB265" s="47">
        <f t="shared" si="88"/>
        <v>0</v>
      </c>
      <c r="AC265" s="47">
        <f t="shared" si="88"/>
        <v>0</v>
      </c>
      <c r="AD265" s="47">
        <f t="shared" si="88"/>
        <v>0</v>
      </c>
    </row>
    <row r="266" spans="1:30" outlineLevel="1">
      <c r="A266" s="13" t="str">
        <f>A106</f>
        <v>copper conc - copper refining charges - mid case</v>
      </c>
      <c r="B266" s="13" t="str">
        <f>B106</f>
        <v>US$/lb payable Real</v>
      </c>
      <c r="C266" s="44"/>
      <c r="D266" s="79">
        <f t="shared" ref="D266:AD266" si="89">D106</f>
        <v>0.1</v>
      </c>
      <c r="E266" s="79">
        <f t="shared" si="89"/>
        <v>0.08</v>
      </c>
      <c r="F266" s="79">
        <f t="shared" si="89"/>
        <v>0.08</v>
      </c>
      <c r="G266" s="79">
        <f t="shared" si="89"/>
        <v>0.08</v>
      </c>
      <c r="H266" s="79">
        <f t="shared" si="89"/>
        <v>0.08</v>
      </c>
      <c r="I266" s="79">
        <f t="shared" si="89"/>
        <v>0.08</v>
      </c>
      <c r="J266" s="79">
        <f t="shared" si="89"/>
        <v>0.08</v>
      </c>
      <c r="K266" s="79">
        <f t="shared" si="89"/>
        <v>0.08</v>
      </c>
      <c r="L266" s="79">
        <f t="shared" si="89"/>
        <v>0.08</v>
      </c>
      <c r="M266" s="79">
        <f t="shared" si="89"/>
        <v>0.08</v>
      </c>
      <c r="N266" s="79">
        <f t="shared" si="89"/>
        <v>0.08</v>
      </c>
      <c r="O266" s="79">
        <f t="shared" si="89"/>
        <v>0.08</v>
      </c>
      <c r="P266" s="79">
        <f t="shared" si="89"/>
        <v>0.08</v>
      </c>
      <c r="Q266" s="79">
        <f t="shared" si="89"/>
        <v>0.08</v>
      </c>
      <c r="R266" s="79">
        <f t="shared" si="89"/>
        <v>0.08</v>
      </c>
      <c r="S266" s="79">
        <f t="shared" si="89"/>
        <v>0.08</v>
      </c>
      <c r="T266" s="79">
        <f t="shared" si="89"/>
        <v>0.08</v>
      </c>
      <c r="U266" s="79">
        <f t="shared" si="89"/>
        <v>0.08</v>
      </c>
      <c r="V266" s="79">
        <f t="shared" si="89"/>
        <v>0.08</v>
      </c>
      <c r="W266" s="79">
        <f t="shared" si="89"/>
        <v>0.08</v>
      </c>
      <c r="X266" s="79">
        <f t="shared" si="89"/>
        <v>0.08</v>
      </c>
      <c r="Y266" s="79">
        <f t="shared" si="89"/>
        <v>0.08</v>
      </c>
      <c r="Z266" s="79">
        <f t="shared" si="89"/>
        <v>0.08</v>
      </c>
      <c r="AA266" s="79">
        <f t="shared" si="89"/>
        <v>0.08</v>
      </c>
      <c r="AB266" s="79">
        <f t="shared" si="89"/>
        <v>0.08</v>
      </c>
      <c r="AC266" s="79">
        <f t="shared" si="89"/>
        <v>0.08</v>
      </c>
      <c r="AD266" s="79">
        <f t="shared" si="89"/>
        <v>0.08</v>
      </c>
    </row>
    <row r="267" spans="1:30" s="14" customFormat="1" outlineLevel="1">
      <c r="A267" s="14" t="s">
        <v>67</v>
      </c>
      <c r="B267" s="13" t="s">
        <v>63</v>
      </c>
      <c r="C267" s="92"/>
      <c r="D267" s="55">
        <f t="shared" ref="D267:AD267" si="90">D265*2204.6*D266</f>
        <v>0</v>
      </c>
      <c r="E267" s="55">
        <f t="shared" si="90"/>
        <v>0</v>
      </c>
      <c r="F267" s="55">
        <f t="shared" si="90"/>
        <v>52.842498320000004</v>
      </c>
      <c r="G267" s="55">
        <f t="shared" si="90"/>
        <v>52.842498320000004</v>
      </c>
      <c r="H267" s="55">
        <f t="shared" si="90"/>
        <v>52.842498320000004</v>
      </c>
      <c r="I267" s="55">
        <f t="shared" si="90"/>
        <v>52.842498320000004</v>
      </c>
      <c r="J267" s="55">
        <f t="shared" si="90"/>
        <v>52.842498320000004</v>
      </c>
      <c r="K267" s="55">
        <f t="shared" si="90"/>
        <v>52.842498320000004</v>
      </c>
      <c r="L267" s="55">
        <f t="shared" si="90"/>
        <v>52.842498320000004</v>
      </c>
      <c r="M267" s="55">
        <f t="shared" si="90"/>
        <v>52.842498320000004</v>
      </c>
      <c r="N267" s="55">
        <f t="shared" si="90"/>
        <v>52.842498320000004</v>
      </c>
      <c r="O267" s="55">
        <f t="shared" si="90"/>
        <v>52.842498320000004</v>
      </c>
      <c r="P267" s="55">
        <f t="shared" si="90"/>
        <v>52.842498320000004</v>
      </c>
      <c r="Q267" s="55">
        <f t="shared" si="90"/>
        <v>52.842498320000004</v>
      </c>
      <c r="R267" s="55">
        <f t="shared" si="90"/>
        <v>52.842498320000004</v>
      </c>
      <c r="S267" s="55">
        <f t="shared" si="90"/>
        <v>52.842498320000004</v>
      </c>
      <c r="T267" s="55">
        <f t="shared" si="90"/>
        <v>52.842498320000004</v>
      </c>
      <c r="U267" s="55">
        <f t="shared" si="90"/>
        <v>0</v>
      </c>
      <c r="V267" s="55">
        <f t="shared" si="90"/>
        <v>0</v>
      </c>
      <c r="W267" s="55">
        <f t="shared" si="90"/>
        <v>0</v>
      </c>
      <c r="X267" s="55">
        <f t="shared" si="90"/>
        <v>0</v>
      </c>
      <c r="Y267" s="55">
        <f t="shared" si="90"/>
        <v>0</v>
      </c>
      <c r="Z267" s="55">
        <f t="shared" si="90"/>
        <v>0</v>
      </c>
      <c r="AA267" s="55">
        <f t="shared" si="90"/>
        <v>0</v>
      </c>
      <c r="AB267" s="55">
        <f t="shared" si="90"/>
        <v>0</v>
      </c>
      <c r="AC267" s="55">
        <f t="shared" si="90"/>
        <v>0</v>
      </c>
      <c r="AD267" s="55">
        <f t="shared" si="90"/>
        <v>0</v>
      </c>
    </row>
    <row r="268" spans="1:30" outlineLevel="1">
      <c r="C268" s="44"/>
      <c r="D268" s="42"/>
      <c r="E268" s="42"/>
      <c r="F268" s="42"/>
      <c r="G268" s="42"/>
      <c r="H268" s="42"/>
      <c r="I268" s="42"/>
      <c r="J268" s="42"/>
      <c r="K268" s="42"/>
      <c r="L268" s="42"/>
      <c r="M268" s="42"/>
      <c r="N268" s="42"/>
      <c r="O268" s="42"/>
      <c r="P268" s="42"/>
      <c r="Q268" s="42"/>
      <c r="R268" s="42"/>
      <c r="S268" s="42"/>
      <c r="T268" s="42"/>
      <c r="U268" s="42"/>
      <c r="V268" s="42"/>
      <c r="W268" s="42"/>
      <c r="X268" s="42"/>
      <c r="Y268" s="42"/>
      <c r="Z268" s="42"/>
      <c r="AA268" s="42"/>
      <c r="AB268" s="42"/>
      <c r="AC268" s="42"/>
      <c r="AD268" s="42"/>
    </row>
    <row r="269" spans="1:30" outlineLevel="1">
      <c r="A269" s="13" t="str">
        <f>A246</f>
        <v>Concentrate's - gold payable</v>
      </c>
      <c r="B269" s="13" t="str">
        <f>B246</f>
        <v>g/t Au</v>
      </c>
      <c r="C269" s="44"/>
      <c r="D269" s="56">
        <f t="shared" ref="D269:AD269" si="91">D246</f>
        <v>0</v>
      </c>
      <c r="E269" s="56">
        <f t="shared" si="91"/>
        <v>0</v>
      </c>
      <c r="F269" s="56">
        <f t="shared" si="91"/>
        <v>5.9053385416666675</v>
      </c>
      <c r="G269" s="56">
        <f t="shared" si="91"/>
        <v>5.9053385416666657</v>
      </c>
      <c r="H269" s="56">
        <f t="shared" si="91"/>
        <v>5.9053385416666657</v>
      </c>
      <c r="I269" s="56">
        <f t="shared" si="91"/>
        <v>5.9053385416666657</v>
      </c>
      <c r="J269" s="56">
        <f t="shared" si="91"/>
        <v>5.9053385416666666</v>
      </c>
      <c r="K269" s="56">
        <f t="shared" si="91"/>
        <v>5.7162291666666665</v>
      </c>
      <c r="L269" s="56">
        <f t="shared" si="91"/>
        <v>5.5218749999999988</v>
      </c>
      <c r="M269" s="56">
        <f t="shared" si="91"/>
        <v>5.5218749999999988</v>
      </c>
      <c r="N269" s="56">
        <f t="shared" si="91"/>
        <v>5.5218749999999988</v>
      </c>
      <c r="O269" s="56">
        <f t="shared" si="91"/>
        <v>5.5218749999999988</v>
      </c>
      <c r="P269" s="56">
        <f t="shared" si="91"/>
        <v>5.5497749999999995</v>
      </c>
      <c r="Q269" s="56">
        <f t="shared" si="91"/>
        <v>5.2708806818181815</v>
      </c>
      <c r="R269" s="56">
        <f t="shared" si="91"/>
        <v>5.2708806818181815</v>
      </c>
      <c r="S269" s="56">
        <f t="shared" si="91"/>
        <v>5.2708806818181815</v>
      </c>
      <c r="T269" s="56">
        <f t="shared" si="91"/>
        <v>5.2708806818181824</v>
      </c>
      <c r="U269" s="56">
        <f t="shared" si="91"/>
        <v>0</v>
      </c>
      <c r="V269" s="56">
        <f t="shared" si="91"/>
        <v>0</v>
      </c>
      <c r="W269" s="56">
        <f t="shared" si="91"/>
        <v>0</v>
      </c>
      <c r="X269" s="56">
        <f t="shared" si="91"/>
        <v>0</v>
      </c>
      <c r="Y269" s="56">
        <f t="shared" si="91"/>
        <v>0</v>
      </c>
      <c r="Z269" s="56">
        <f t="shared" si="91"/>
        <v>0</v>
      </c>
      <c r="AA269" s="56">
        <f t="shared" si="91"/>
        <v>0</v>
      </c>
      <c r="AB269" s="56">
        <f t="shared" si="91"/>
        <v>0</v>
      </c>
      <c r="AC269" s="56">
        <f t="shared" si="91"/>
        <v>0</v>
      </c>
      <c r="AD269" s="56">
        <f t="shared" si="91"/>
        <v>0</v>
      </c>
    </row>
    <row r="270" spans="1:30" outlineLevel="1">
      <c r="A270" s="13" t="str">
        <f>A107</f>
        <v>copper conc - gold refining charges - mid case</v>
      </c>
      <c r="B270" s="13" t="str">
        <f>B107</f>
        <v>US$/oz payable Real</v>
      </c>
      <c r="C270" s="44"/>
      <c r="D270" s="57">
        <f t="shared" ref="D270:AD270" si="92">D107</f>
        <v>5</v>
      </c>
      <c r="E270" s="57">
        <f t="shared" si="92"/>
        <v>5</v>
      </c>
      <c r="F270" s="57">
        <f t="shared" si="92"/>
        <v>5</v>
      </c>
      <c r="G270" s="57">
        <f t="shared" si="92"/>
        <v>5</v>
      </c>
      <c r="H270" s="57">
        <f t="shared" si="92"/>
        <v>5</v>
      </c>
      <c r="I270" s="57">
        <f t="shared" si="92"/>
        <v>5</v>
      </c>
      <c r="J270" s="57">
        <f t="shared" si="92"/>
        <v>5</v>
      </c>
      <c r="K270" s="57">
        <f t="shared" si="92"/>
        <v>5</v>
      </c>
      <c r="L270" s="57">
        <f t="shared" si="92"/>
        <v>5</v>
      </c>
      <c r="M270" s="57">
        <f t="shared" si="92"/>
        <v>5</v>
      </c>
      <c r="N270" s="57">
        <f t="shared" si="92"/>
        <v>5</v>
      </c>
      <c r="O270" s="57">
        <f t="shared" si="92"/>
        <v>5</v>
      </c>
      <c r="P270" s="57">
        <f t="shared" si="92"/>
        <v>5</v>
      </c>
      <c r="Q270" s="57">
        <f t="shared" si="92"/>
        <v>5</v>
      </c>
      <c r="R270" s="57">
        <f t="shared" si="92"/>
        <v>5</v>
      </c>
      <c r="S270" s="57">
        <f t="shared" si="92"/>
        <v>5</v>
      </c>
      <c r="T270" s="57">
        <f t="shared" si="92"/>
        <v>5</v>
      </c>
      <c r="U270" s="57">
        <f t="shared" si="92"/>
        <v>5</v>
      </c>
      <c r="V270" s="57">
        <f t="shared" si="92"/>
        <v>5</v>
      </c>
      <c r="W270" s="57">
        <f t="shared" si="92"/>
        <v>5</v>
      </c>
      <c r="X270" s="57">
        <f t="shared" si="92"/>
        <v>5</v>
      </c>
      <c r="Y270" s="57">
        <f t="shared" si="92"/>
        <v>5</v>
      </c>
      <c r="Z270" s="57">
        <f t="shared" si="92"/>
        <v>5</v>
      </c>
      <c r="AA270" s="57">
        <f t="shared" si="92"/>
        <v>5</v>
      </c>
      <c r="AB270" s="57">
        <f t="shared" si="92"/>
        <v>5</v>
      </c>
      <c r="AC270" s="57">
        <f t="shared" si="92"/>
        <v>5</v>
      </c>
      <c r="AD270" s="57">
        <f t="shared" si="92"/>
        <v>5</v>
      </c>
    </row>
    <row r="271" spans="1:30" s="14" customFormat="1" outlineLevel="1">
      <c r="A271" s="14" t="s">
        <v>68</v>
      </c>
      <c r="B271" s="13" t="s">
        <v>63</v>
      </c>
      <c r="C271" s="92"/>
      <c r="D271" s="55">
        <f t="shared" ref="D271:AD271" si="93">D269/31.1*D270</f>
        <v>0</v>
      </c>
      <c r="E271" s="55">
        <f t="shared" si="93"/>
        <v>0</v>
      </c>
      <c r="F271" s="55">
        <f t="shared" si="93"/>
        <v>0.94941134110396574</v>
      </c>
      <c r="G271" s="55">
        <f t="shared" si="93"/>
        <v>0.94941134110396552</v>
      </c>
      <c r="H271" s="55">
        <f t="shared" si="93"/>
        <v>0.94941134110396552</v>
      </c>
      <c r="I271" s="55">
        <f t="shared" si="93"/>
        <v>0.94941134110396552</v>
      </c>
      <c r="J271" s="55">
        <f t="shared" si="93"/>
        <v>0.94941134110396563</v>
      </c>
      <c r="K271" s="55">
        <f t="shared" si="93"/>
        <v>0.91900790460878867</v>
      </c>
      <c r="L271" s="55">
        <f t="shared" si="93"/>
        <v>0.8877612540192924</v>
      </c>
      <c r="M271" s="55">
        <f t="shared" si="93"/>
        <v>0.8877612540192924</v>
      </c>
      <c r="N271" s="55">
        <f t="shared" si="93"/>
        <v>0.8877612540192924</v>
      </c>
      <c r="O271" s="55">
        <f t="shared" si="93"/>
        <v>0.8877612540192924</v>
      </c>
      <c r="P271" s="55">
        <f t="shared" si="93"/>
        <v>0.89224678456591633</v>
      </c>
      <c r="Q271" s="55">
        <f t="shared" si="93"/>
        <v>0.8474084697456884</v>
      </c>
      <c r="R271" s="55">
        <f t="shared" si="93"/>
        <v>0.8474084697456884</v>
      </c>
      <c r="S271" s="55">
        <f t="shared" si="93"/>
        <v>0.8474084697456884</v>
      </c>
      <c r="T271" s="55">
        <f t="shared" si="93"/>
        <v>0.84740846974568851</v>
      </c>
      <c r="U271" s="55">
        <f t="shared" si="93"/>
        <v>0</v>
      </c>
      <c r="V271" s="55">
        <f t="shared" si="93"/>
        <v>0</v>
      </c>
      <c r="W271" s="55">
        <f t="shared" si="93"/>
        <v>0</v>
      </c>
      <c r="X271" s="55">
        <f t="shared" si="93"/>
        <v>0</v>
      </c>
      <c r="Y271" s="55">
        <f t="shared" si="93"/>
        <v>0</v>
      </c>
      <c r="Z271" s="55">
        <f t="shared" si="93"/>
        <v>0</v>
      </c>
      <c r="AA271" s="55">
        <f t="shared" si="93"/>
        <v>0</v>
      </c>
      <c r="AB271" s="55">
        <f t="shared" si="93"/>
        <v>0</v>
      </c>
      <c r="AC271" s="55">
        <f t="shared" si="93"/>
        <v>0</v>
      </c>
      <c r="AD271" s="55">
        <f t="shared" si="93"/>
        <v>0</v>
      </c>
    </row>
    <row r="272" spans="1:30" outlineLevel="1">
      <c r="C272" s="44"/>
      <c r="D272" s="42"/>
      <c r="E272" s="42"/>
      <c r="F272" s="42"/>
      <c r="G272" s="42"/>
      <c r="H272" s="42"/>
      <c r="I272" s="42"/>
      <c r="J272" s="42"/>
      <c r="K272" s="42"/>
      <c r="L272" s="42"/>
      <c r="M272" s="42"/>
      <c r="N272" s="42"/>
      <c r="O272" s="42"/>
      <c r="P272" s="42"/>
      <c r="Q272" s="42"/>
      <c r="R272" s="42"/>
      <c r="S272" s="42"/>
      <c r="T272" s="42"/>
      <c r="U272" s="42"/>
      <c r="V272" s="42"/>
      <c r="W272" s="42"/>
      <c r="X272" s="42"/>
      <c r="Y272" s="42"/>
      <c r="Z272" s="42"/>
      <c r="AA272" s="42"/>
      <c r="AB272" s="42"/>
      <c r="AC272" s="42"/>
      <c r="AD272" s="42"/>
    </row>
    <row r="273" spans="1:30" outlineLevel="1">
      <c r="A273" s="13" t="str">
        <f>A255</f>
        <v>Copper concentrate - silver payable</v>
      </c>
      <c r="B273" s="13" t="str">
        <f>B255</f>
        <v>g/t Ag</v>
      </c>
      <c r="C273" s="44"/>
      <c r="D273" s="42">
        <f t="shared" ref="D273:AD273" si="94">D255</f>
        <v>0</v>
      </c>
      <c r="E273" s="42">
        <f t="shared" si="94"/>
        <v>0</v>
      </c>
      <c r="F273" s="42">
        <f t="shared" si="94"/>
        <v>17.703598484848492</v>
      </c>
      <c r="G273" s="42">
        <f t="shared" si="94"/>
        <v>17.703598484848484</v>
      </c>
      <c r="H273" s="42">
        <f t="shared" si="94"/>
        <v>17.703598484848484</v>
      </c>
      <c r="I273" s="42">
        <f t="shared" si="94"/>
        <v>17.703598484848484</v>
      </c>
      <c r="J273" s="42">
        <f t="shared" si="94"/>
        <v>17.703598484848492</v>
      </c>
      <c r="K273" s="42">
        <f t="shared" si="94"/>
        <v>3.4848484848484915</v>
      </c>
      <c r="L273" s="42">
        <f t="shared" si="94"/>
        <v>0</v>
      </c>
      <c r="M273" s="42">
        <f t="shared" si="94"/>
        <v>0</v>
      </c>
      <c r="N273" s="42">
        <f t="shared" si="94"/>
        <v>0</v>
      </c>
      <c r="O273" s="42">
        <f t="shared" si="94"/>
        <v>0</v>
      </c>
      <c r="P273" s="42">
        <f t="shared" si="94"/>
        <v>0</v>
      </c>
      <c r="Q273" s="42">
        <f t="shared" si="94"/>
        <v>0</v>
      </c>
      <c r="R273" s="42">
        <f t="shared" si="94"/>
        <v>0</v>
      </c>
      <c r="S273" s="42">
        <f t="shared" si="94"/>
        <v>0</v>
      </c>
      <c r="T273" s="42">
        <f t="shared" si="94"/>
        <v>0</v>
      </c>
      <c r="U273" s="42">
        <f t="shared" si="94"/>
        <v>0</v>
      </c>
      <c r="V273" s="42">
        <f t="shared" si="94"/>
        <v>0</v>
      </c>
      <c r="W273" s="42">
        <f t="shared" si="94"/>
        <v>0</v>
      </c>
      <c r="X273" s="42">
        <f t="shared" si="94"/>
        <v>0</v>
      </c>
      <c r="Y273" s="42">
        <f t="shared" si="94"/>
        <v>0</v>
      </c>
      <c r="Z273" s="42">
        <f t="shared" si="94"/>
        <v>0</v>
      </c>
      <c r="AA273" s="42">
        <f t="shared" si="94"/>
        <v>0</v>
      </c>
      <c r="AB273" s="42">
        <f t="shared" si="94"/>
        <v>0</v>
      </c>
      <c r="AC273" s="42">
        <f t="shared" si="94"/>
        <v>0</v>
      </c>
      <c r="AD273" s="42">
        <f t="shared" si="94"/>
        <v>0</v>
      </c>
    </row>
    <row r="274" spans="1:30" outlineLevel="1">
      <c r="A274" s="13" t="str">
        <f>A108</f>
        <v>copper conc - silver refining charges - mid case</v>
      </c>
      <c r="B274" s="13" t="str">
        <f>B108</f>
        <v>US$/oz payable Real</v>
      </c>
      <c r="C274" s="44"/>
      <c r="D274" s="57">
        <f t="shared" ref="D274:AD274" si="95">D108</f>
        <v>0.5</v>
      </c>
      <c r="E274" s="57">
        <f t="shared" si="95"/>
        <v>0.5</v>
      </c>
      <c r="F274" s="57">
        <f t="shared" si="95"/>
        <v>0.5</v>
      </c>
      <c r="G274" s="57">
        <f t="shared" si="95"/>
        <v>0.5</v>
      </c>
      <c r="H274" s="57">
        <f t="shared" si="95"/>
        <v>0.5</v>
      </c>
      <c r="I274" s="57">
        <f t="shared" si="95"/>
        <v>0.5</v>
      </c>
      <c r="J274" s="57">
        <f t="shared" si="95"/>
        <v>0.5</v>
      </c>
      <c r="K274" s="57">
        <f t="shared" si="95"/>
        <v>0.5</v>
      </c>
      <c r="L274" s="57">
        <f t="shared" si="95"/>
        <v>0.5</v>
      </c>
      <c r="M274" s="57">
        <f t="shared" si="95"/>
        <v>0.5</v>
      </c>
      <c r="N274" s="57">
        <f t="shared" si="95"/>
        <v>0.5</v>
      </c>
      <c r="O274" s="57">
        <f t="shared" si="95"/>
        <v>0.5</v>
      </c>
      <c r="P274" s="57">
        <f t="shared" si="95"/>
        <v>0.5</v>
      </c>
      <c r="Q274" s="57">
        <f t="shared" si="95"/>
        <v>0.5</v>
      </c>
      <c r="R274" s="57">
        <f t="shared" si="95"/>
        <v>0.5</v>
      </c>
      <c r="S274" s="57">
        <f t="shared" si="95"/>
        <v>0.5</v>
      </c>
      <c r="T274" s="57">
        <f t="shared" si="95"/>
        <v>0.5</v>
      </c>
      <c r="U274" s="57">
        <f t="shared" si="95"/>
        <v>0.5</v>
      </c>
      <c r="V274" s="57">
        <f t="shared" si="95"/>
        <v>0.5</v>
      </c>
      <c r="W274" s="57">
        <f t="shared" si="95"/>
        <v>0.5</v>
      </c>
      <c r="X274" s="57">
        <f t="shared" si="95"/>
        <v>0.5</v>
      </c>
      <c r="Y274" s="57">
        <f t="shared" si="95"/>
        <v>0.5</v>
      </c>
      <c r="Z274" s="57">
        <f t="shared" si="95"/>
        <v>0.5</v>
      </c>
      <c r="AA274" s="57">
        <f t="shared" si="95"/>
        <v>0.5</v>
      </c>
      <c r="AB274" s="57">
        <f t="shared" si="95"/>
        <v>0.5</v>
      </c>
      <c r="AC274" s="57">
        <f t="shared" si="95"/>
        <v>0.5</v>
      </c>
      <c r="AD274" s="57">
        <f t="shared" si="95"/>
        <v>0.5</v>
      </c>
    </row>
    <row r="275" spans="1:30" s="14" customFormat="1" outlineLevel="1">
      <c r="A275" s="14" t="s">
        <v>70</v>
      </c>
      <c r="B275" s="13" t="s">
        <v>63</v>
      </c>
      <c r="C275" s="92"/>
      <c r="D275" s="68">
        <f t="shared" ref="D275:AD275" si="96">D273/31.1*D274</f>
        <v>0</v>
      </c>
      <c r="E275" s="68">
        <f t="shared" si="96"/>
        <v>0</v>
      </c>
      <c r="F275" s="68">
        <f t="shared" si="96"/>
        <v>0.28462376985286963</v>
      </c>
      <c r="G275" s="68">
        <f t="shared" si="96"/>
        <v>0.28462376985286952</v>
      </c>
      <c r="H275" s="68">
        <f t="shared" si="96"/>
        <v>0.28462376985286952</v>
      </c>
      <c r="I275" s="68">
        <f t="shared" si="96"/>
        <v>0.28462376985286952</v>
      </c>
      <c r="J275" s="68">
        <f t="shared" si="96"/>
        <v>0.28462376985286963</v>
      </c>
      <c r="K275" s="68">
        <f t="shared" si="96"/>
        <v>5.6026502971840697E-2</v>
      </c>
      <c r="L275" s="68">
        <f t="shared" si="96"/>
        <v>0</v>
      </c>
      <c r="M275" s="68">
        <f t="shared" si="96"/>
        <v>0</v>
      </c>
      <c r="N275" s="68">
        <f t="shared" si="96"/>
        <v>0</v>
      </c>
      <c r="O275" s="68">
        <f t="shared" si="96"/>
        <v>0</v>
      </c>
      <c r="P275" s="68">
        <f t="shared" si="96"/>
        <v>0</v>
      </c>
      <c r="Q275" s="68">
        <f t="shared" si="96"/>
        <v>0</v>
      </c>
      <c r="R275" s="68">
        <f t="shared" si="96"/>
        <v>0</v>
      </c>
      <c r="S275" s="68">
        <f t="shared" si="96"/>
        <v>0</v>
      </c>
      <c r="T275" s="68">
        <f t="shared" si="96"/>
        <v>0</v>
      </c>
      <c r="U275" s="68">
        <f t="shared" si="96"/>
        <v>0</v>
      </c>
      <c r="V275" s="68">
        <f t="shared" si="96"/>
        <v>0</v>
      </c>
      <c r="W275" s="68">
        <f t="shared" si="96"/>
        <v>0</v>
      </c>
      <c r="X275" s="68">
        <f t="shared" si="96"/>
        <v>0</v>
      </c>
      <c r="Y275" s="68">
        <f t="shared" si="96"/>
        <v>0</v>
      </c>
      <c r="Z275" s="68">
        <f t="shared" si="96"/>
        <v>0</v>
      </c>
      <c r="AA275" s="68">
        <f t="shared" si="96"/>
        <v>0</v>
      </c>
      <c r="AB275" s="68">
        <f t="shared" si="96"/>
        <v>0</v>
      </c>
      <c r="AC275" s="68">
        <f t="shared" si="96"/>
        <v>0</v>
      </c>
      <c r="AD275" s="68">
        <f t="shared" si="96"/>
        <v>0</v>
      </c>
    </row>
    <row r="276" spans="1:30" outlineLevel="1">
      <c r="C276" s="44"/>
      <c r="D276" s="42"/>
      <c r="E276" s="42"/>
      <c r="F276" s="42"/>
      <c r="G276" s="42"/>
      <c r="H276" s="42"/>
      <c r="I276" s="42"/>
      <c r="J276" s="42"/>
      <c r="K276" s="42"/>
      <c r="L276" s="42"/>
      <c r="M276" s="42"/>
      <c r="N276" s="42"/>
      <c r="O276" s="42"/>
      <c r="P276" s="42"/>
      <c r="Q276" s="42"/>
      <c r="R276" s="42"/>
      <c r="S276" s="42"/>
      <c r="T276" s="42"/>
      <c r="U276" s="42"/>
      <c r="V276" s="42"/>
      <c r="W276" s="42"/>
      <c r="X276" s="42"/>
      <c r="Y276" s="42"/>
      <c r="Z276" s="42"/>
      <c r="AA276" s="42"/>
      <c r="AB276" s="42"/>
      <c r="AC276" s="42"/>
      <c r="AD276" s="42"/>
    </row>
    <row r="277" spans="1:30" s="126" customFormat="1" ht="28.75" customHeight="1" outlineLevel="1">
      <c r="A277" s="126" t="s">
        <v>72</v>
      </c>
      <c r="B277" s="32" t="s">
        <v>63</v>
      </c>
      <c r="C277" s="125"/>
      <c r="D277" s="138">
        <f t="shared" ref="D277:AD277" si="97">D263+D267+D271+D275</f>
        <v>0</v>
      </c>
      <c r="E277" s="138">
        <f t="shared" si="97"/>
        <v>0</v>
      </c>
      <c r="F277" s="138">
        <f t="shared" si="97"/>
        <v>134.07653343095683</v>
      </c>
      <c r="G277" s="138">
        <f t="shared" si="97"/>
        <v>134.07653343095683</v>
      </c>
      <c r="H277" s="138">
        <f t="shared" si="97"/>
        <v>134.07653343095683</v>
      </c>
      <c r="I277" s="138">
        <f t="shared" si="97"/>
        <v>134.07653343095683</v>
      </c>
      <c r="J277" s="138">
        <f t="shared" si="97"/>
        <v>134.07653343095683</v>
      </c>
      <c r="K277" s="138">
        <f t="shared" si="97"/>
        <v>133.81753272758061</v>
      </c>
      <c r="L277" s="138">
        <f t="shared" si="97"/>
        <v>133.7302595740193</v>
      </c>
      <c r="M277" s="138">
        <f t="shared" si="97"/>
        <v>133.7302595740193</v>
      </c>
      <c r="N277" s="138">
        <f t="shared" si="97"/>
        <v>133.7302595740193</v>
      </c>
      <c r="O277" s="138">
        <f t="shared" si="97"/>
        <v>133.7302595740193</v>
      </c>
      <c r="P277" s="138">
        <f t="shared" si="97"/>
        <v>133.73474510456592</v>
      </c>
      <c r="Q277" s="138">
        <f t="shared" si="97"/>
        <v>133.68990678974569</v>
      </c>
      <c r="R277" s="138">
        <f t="shared" si="97"/>
        <v>133.68990678974569</v>
      </c>
      <c r="S277" s="138">
        <f t="shared" si="97"/>
        <v>133.68990678974569</v>
      </c>
      <c r="T277" s="138">
        <f t="shared" si="97"/>
        <v>133.68990678974569</v>
      </c>
      <c r="U277" s="138">
        <f t="shared" si="97"/>
        <v>0</v>
      </c>
      <c r="V277" s="138">
        <f t="shared" si="97"/>
        <v>0</v>
      </c>
      <c r="W277" s="138">
        <f t="shared" si="97"/>
        <v>0</v>
      </c>
      <c r="X277" s="138">
        <f t="shared" si="97"/>
        <v>0</v>
      </c>
      <c r="Y277" s="138">
        <f t="shared" si="97"/>
        <v>0</v>
      </c>
      <c r="Z277" s="138">
        <f t="shared" si="97"/>
        <v>0</v>
      </c>
      <c r="AA277" s="138">
        <f t="shared" si="97"/>
        <v>0</v>
      </c>
      <c r="AB277" s="138">
        <f t="shared" si="97"/>
        <v>0</v>
      </c>
      <c r="AC277" s="138">
        <f t="shared" si="97"/>
        <v>0</v>
      </c>
      <c r="AD277" s="138">
        <f t="shared" si="97"/>
        <v>0</v>
      </c>
    </row>
    <row r="278" spans="1:30" s="14" customFormat="1" outlineLevel="1">
      <c r="B278" s="13"/>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c r="AA278" s="44"/>
      <c r="AB278" s="44"/>
      <c r="AC278" s="44"/>
      <c r="AD278" s="44"/>
    </row>
    <row r="279" spans="1:30" outlineLevel="1">
      <c r="A279" s="50" t="s">
        <v>74</v>
      </c>
      <c r="C279" s="44"/>
      <c r="D279" s="42"/>
      <c r="E279" s="42"/>
      <c r="F279" s="42"/>
      <c r="G279" s="42"/>
      <c r="H279" s="42"/>
      <c r="I279" s="42"/>
      <c r="J279" s="42"/>
      <c r="K279" s="42"/>
      <c r="L279" s="42"/>
      <c r="M279" s="42"/>
      <c r="N279" s="42"/>
      <c r="O279" s="42"/>
      <c r="P279" s="42"/>
      <c r="Q279" s="42"/>
      <c r="R279" s="42"/>
      <c r="S279" s="42"/>
      <c r="T279" s="42"/>
      <c r="U279" s="42"/>
      <c r="V279" s="42"/>
      <c r="W279" s="42"/>
      <c r="X279" s="42"/>
      <c r="Y279" s="42"/>
      <c r="Z279" s="42"/>
      <c r="AA279" s="42"/>
      <c r="AB279" s="42"/>
      <c r="AC279" s="42"/>
      <c r="AD279" s="42"/>
    </row>
    <row r="280" spans="1:30" s="126" customFormat="1" ht="28.75" customHeight="1" outlineLevel="1">
      <c r="A280" s="124" t="s">
        <v>73</v>
      </c>
      <c r="B280" s="32" t="s">
        <v>63</v>
      </c>
      <c r="C280" s="125"/>
      <c r="D280" s="137">
        <f t="shared" ref="D280:AD280" si="98">D259-D277</f>
        <v>0</v>
      </c>
      <c r="E280" s="137">
        <f t="shared" si="98"/>
        <v>0</v>
      </c>
      <c r="F280" s="137">
        <f t="shared" si="98"/>
        <v>2902.0441075032732</v>
      </c>
      <c r="G280" s="137">
        <f t="shared" si="98"/>
        <v>2902.0441075032732</v>
      </c>
      <c r="H280" s="137">
        <f t="shared" si="98"/>
        <v>2902.0441075032732</v>
      </c>
      <c r="I280" s="137">
        <f t="shared" si="98"/>
        <v>2902.0441075032732</v>
      </c>
      <c r="J280" s="137">
        <f t="shared" si="98"/>
        <v>2902.0441075032732</v>
      </c>
      <c r="K280" s="137">
        <f t="shared" si="98"/>
        <v>2878.7118702645271</v>
      </c>
      <c r="L280" s="137">
        <f t="shared" si="98"/>
        <v>2863.4991580336978</v>
      </c>
      <c r="M280" s="137">
        <f t="shared" si="98"/>
        <v>2863.4991580336978</v>
      </c>
      <c r="N280" s="137">
        <f t="shared" si="98"/>
        <v>2863.4991580336978</v>
      </c>
      <c r="O280" s="137">
        <f t="shared" si="98"/>
        <v>2863.4991580336978</v>
      </c>
      <c r="P280" s="137">
        <f t="shared" si="98"/>
        <v>2865.288884721801</v>
      </c>
      <c r="Q280" s="137">
        <f t="shared" si="98"/>
        <v>2847.3983971085299</v>
      </c>
      <c r="R280" s="137">
        <f t="shared" si="98"/>
        <v>2847.3983971085299</v>
      </c>
      <c r="S280" s="137">
        <f t="shared" si="98"/>
        <v>2847.3983971085299</v>
      </c>
      <c r="T280" s="137">
        <f t="shared" si="98"/>
        <v>2847.3983971085299</v>
      </c>
      <c r="U280" s="137">
        <f t="shared" si="98"/>
        <v>0</v>
      </c>
      <c r="V280" s="137">
        <f t="shared" si="98"/>
        <v>0</v>
      </c>
      <c r="W280" s="137">
        <f t="shared" si="98"/>
        <v>0</v>
      </c>
      <c r="X280" s="137">
        <f t="shared" si="98"/>
        <v>0</v>
      </c>
      <c r="Y280" s="137">
        <f t="shared" si="98"/>
        <v>0</v>
      </c>
      <c r="Z280" s="137">
        <f t="shared" si="98"/>
        <v>0</v>
      </c>
      <c r="AA280" s="137">
        <f t="shared" si="98"/>
        <v>0</v>
      </c>
      <c r="AB280" s="137">
        <f t="shared" si="98"/>
        <v>0</v>
      </c>
      <c r="AC280" s="137">
        <f t="shared" si="98"/>
        <v>0</v>
      </c>
      <c r="AD280" s="137">
        <f t="shared" si="98"/>
        <v>0</v>
      </c>
    </row>
    <row r="281" spans="1:30" s="14" customFormat="1" outlineLevel="1">
      <c r="A281" s="13" t="s">
        <v>79</v>
      </c>
      <c r="B281" s="13"/>
      <c r="C281" s="93"/>
      <c r="D281" s="44"/>
      <c r="E281" s="44"/>
      <c r="F281" s="44"/>
      <c r="G281" s="44"/>
      <c r="H281" s="44"/>
      <c r="I281" s="44"/>
      <c r="J281" s="44"/>
      <c r="K281" s="44"/>
      <c r="L281" s="44"/>
      <c r="M281" s="44"/>
      <c r="N281" s="44"/>
      <c r="O281" s="44"/>
      <c r="P281" s="44"/>
      <c r="Q281" s="44"/>
      <c r="R281" s="44"/>
      <c r="S281" s="44"/>
      <c r="T281" s="44"/>
      <c r="U281" s="44"/>
      <c r="V281" s="44"/>
      <c r="W281" s="44"/>
      <c r="X281" s="44"/>
      <c r="Y281" s="44"/>
      <c r="Z281" s="44"/>
      <c r="AA281" s="44"/>
      <c r="AB281" s="44"/>
      <c r="AC281" s="44"/>
      <c r="AD281" s="44"/>
    </row>
    <row r="282" spans="1:30" outlineLevel="1">
      <c r="A282" s="13" t="s">
        <v>76</v>
      </c>
      <c r="B282" s="13" t="s">
        <v>63</v>
      </c>
      <c r="C282" s="93"/>
      <c r="D282" s="42">
        <f t="shared" ref="D282:AD282" si="99">D228-D263-D267</f>
        <v>0</v>
      </c>
      <c r="E282" s="42">
        <f t="shared" si="99"/>
        <v>0</v>
      </c>
      <c r="F282" s="42">
        <f t="shared" si="99"/>
        <v>2509.2824176800004</v>
      </c>
      <c r="G282" s="42">
        <f t="shared" si="99"/>
        <v>2509.2824176800004</v>
      </c>
      <c r="H282" s="42">
        <f t="shared" si="99"/>
        <v>2509.2824176800004</v>
      </c>
      <c r="I282" s="42">
        <f t="shared" si="99"/>
        <v>2509.2824176800004</v>
      </c>
      <c r="J282" s="42">
        <f t="shared" si="99"/>
        <v>2509.2824176800004</v>
      </c>
      <c r="K282" s="42">
        <f t="shared" si="99"/>
        <v>2509.2824176800004</v>
      </c>
      <c r="L282" s="42">
        <f t="shared" si="99"/>
        <v>2509.2824176800004</v>
      </c>
      <c r="M282" s="42">
        <f t="shared" si="99"/>
        <v>2509.2824176800004</v>
      </c>
      <c r="N282" s="42">
        <f t="shared" si="99"/>
        <v>2509.2824176800004</v>
      </c>
      <c r="O282" s="42">
        <f t="shared" si="99"/>
        <v>2509.2824176800004</v>
      </c>
      <c r="P282" s="42">
        <f t="shared" si="99"/>
        <v>2509.2824176800004</v>
      </c>
      <c r="Q282" s="42">
        <f t="shared" si="99"/>
        <v>2509.2824176800004</v>
      </c>
      <c r="R282" s="42">
        <f t="shared" si="99"/>
        <v>2509.2824176800004</v>
      </c>
      <c r="S282" s="42">
        <f t="shared" si="99"/>
        <v>2509.2824176800004</v>
      </c>
      <c r="T282" s="42">
        <f t="shared" si="99"/>
        <v>2509.2824176800004</v>
      </c>
      <c r="U282" s="42">
        <f t="shared" si="99"/>
        <v>0</v>
      </c>
      <c r="V282" s="42">
        <f t="shared" si="99"/>
        <v>0</v>
      </c>
      <c r="W282" s="42">
        <f t="shared" si="99"/>
        <v>0</v>
      </c>
      <c r="X282" s="42">
        <f t="shared" si="99"/>
        <v>0</v>
      </c>
      <c r="Y282" s="42">
        <f t="shared" si="99"/>
        <v>0</v>
      </c>
      <c r="Z282" s="42">
        <f t="shared" si="99"/>
        <v>0</v>
      </c>
      <c r="AA282" s="42">
        <f t="shared" si="99"/>
        <v>0</v>
      </c>
      <c r="AB282" s="42">
        <f t="shared" si="99"/>
        <v>0</v>
      </c>
      <c r="AC282" s="42">
        <f t="shared" si="99"/>
        <v>0</v>
      </c>
      <c r="AD282" s="42">
        <f t="shared" si="99"/>
        <v>0</v>
      </c>
    </row>
    <row r="283" spans="1:30" outlineLevel="1">
      <c r="A283" s="13" t="s">
        <v>77</v>
      </c>
      <c r="B283" s="13" t="s">
        <v>63</v>
      </c>
      <c r="C283" s="93"/>
      <c r="D283" s="42">
        <f t="shared" ref="D283:AD283" si="100">D248-D271</f>
        <v>0</v>
      </c>
      <c r="E283" s="42">
        <f t="shared" si="100"/>
        <v>0</v>
      </c>
      <c r="F283" s="42">
        <f t="shared" si="100"/>
        <v>378.81512510048236</v>
      </c>
      <c r="G283" s="42">
        <f t="shared" si="100"/>
        <v>378.81512510048225</v>
      </c>
      <c r="H283" s="42">
        <f t="shared" si="100"/>
        <v>378.81512510048225</v>
      </c>
      <c r="I283" s="42">
        <f t="shared" si="100"/>
        <v>378.81512510048225</v>
      </c>
      <c r="J283" s="42">
        <f t="shared" si="100"/>
        <v>378.81512510048231</v>
      </c>
      <c r="K283" s="42">
        <f t="shared" si="100"/>
        <v>366.68415393890666</v>
      </c>
      <c r="L283" s="42">
        <f t="shared" si="100"/>
        <v>354.21674035369767</v>
      </c>
      <c r="M283" s="42">
        <f t="shared" si="100"/>
        <v>354.21674035369767</v>
      </c>
      <c r="N283" s="42">
        <f t="shared" si="100"/>
        <v>354.21674035369767</v>
      </c>
      <c r="O283" s="42">
        <f t="shared" si="100"/>
        <v>354.21674035369767</v>
      </c>
      <c r="P283" s="42">
        <f t="shared" si="100"/>
        <v>356.00646704180059</v>
      </c>
      <c r="Q283" s="42">
        <f t="shared" si="100"/>
        <v>338.11597942852967</v>
      </c>
      <c r="R283" s="42">
        <f t="shared" si="100"/>
        <v>338.11597942852967</v>
      </c>
      <c r="S283" s="42">
        <f t="shared" si="100"/>
        <v>338.11597942852967</v>
      </c>
      <c r="T283" s="42">
        <f t="shared" si="100"/>
        <v>338.11597942852973</v>
      </c>
      <c r="U283" s="42">
        <f t="shared" si="100"/>
        <v>0</v>
      </c>
      <c r="V283" s="42">
        <f t="shared" si="100"/>
        <v>0</v>
      </c>
      <c r="W283" s="42">
        <f t="shared" si="100"/>
        <v>0</v>
      </c>
      <c r="X283" s="42">
        <f t="shared" si="100"/>
        <v>0</v>
      </c>
      <c r="Y283" s="42">
        <f t="shared" si="100"/>
        <v>0</v>
      </c>
      <c r="Z283" s="42">
        <f t="shared" si="100"/>
        <v>0</v>
      </c>
      <c r="AA283" s="42">
        <f t="shared" si="100"/>
        <v>0</v>
      </c>
      <c r="AB283" s="42">
        <f t="shared" si="100"/>
        <v>0</v>
      </c>
      <c r="AC283" s="42">
        <f t="shared" si="100"/>
        <v>0</v>
      </c>
      <c r="AD283" s="42">
        <f t="shared" si="100"/>
        <v>0</v>
      </c>
    </row>
    <row r="284" spans="1:30" outlineLevel="1">
      <c r="A284" s="13" t="s">
        <v>78</v>
      </c>
      <c r="B284" s="13" t="s">
        <v>63</v>
      </c>
      <c r="C284" s="93"/>
      <c r="D284" s="42">
        <f t="shared" ref="D284:AD284" si="101">D257-D275</f>
        <v>0</v>
      </c>
      <c r="E284" s="42">
        <f t="shared" si="101"/>
        <v>0</v>
      </c>
      <c r="F284" s="42">
        <f t="shared" si="101"/>
        <v>13.946564722790612</v>
      </c>
      <c r="G284" s="42">
        <f t="shared" si="101"/>
        <v>13.946564722790606</v>
      </c>
      <c r="H284" s="42">
        <f t="shared" si="101"/>
        <v>13.946564722790606</v>
      </c>
      <c r="I284" s="42">
        <f t="shared" si="101"/>
        <v>13.946564722790606</v>
      </c>
      <c r="J284" s="42">
        <f t="shared" si="101"/>
        <v>13.946564722790612</v>
      </c>
      <c r="K284" s="42">
        <f t="shared" si="101"/>
        <v>2.7452986456201942</v>
      </c>
      <c r="L284" s="42">
        <f t="shared" si="101"/>
        <v>0</v>
      </c>
      <c r="M284" s="42">
        <f t="shared" si="101"/>
        <v>0</v>
      </c>
      <c r="N284" s="42">
        <f t="shared" si="101"/>
        <v>0</v>
      </c>
      <c r="O284" s="42">
        <f t="shared" si="101"/>
        <v>0</v>
      </c>
      <c r="P284" s="42">
        <f t="shared" si="101"/>
        <v>0</v>
      </c>
      <c r="Q284" s="42">
        <f t="shared" si="101"/>
        <v>0</v>
      </c>
      <c r="R284" s="42">
        <f t="shared" si="101"/>
        <v>0</v>
      </c>
      <c r="S284" s="42">
        <f t="shared" si="101"/>
        <v>0</v>
      </c>
      <c r="T284" s="42">
        <f t="shared" si="101"/>
        <v>0</v>
      </c>
      <c r="U284" s="42">
        <f t="shared" si="101"/>
        <v>0</v>
      </c>
      <c r="V284" s="42">
        <f t="shared" si="101"/>
        <v>0</v>
      </c>
      <c r="W284" s="42">
        <f t="shared" si="101"/>
        <v>0</v>
      </c>
      <c r="X284" s="42">
        <f t="shared" si="101"/>
        <v>0</v>
      </c>
      <c r="Y284" s="42">
        <f t="shared" si="101"/>
        <v>0</v>
      </c>
      <c r="Z284" s="42">
        <f t="shared" si="101"/>
        <v>0</v>
      </c>
      <c r="AA284" s="42">
        <f t="shared" si="101"/>
        <v>0</v>
      </c>
      <c r="AB284" s="42">
        <f t="shared" si="101"/>
        <v>0</v>
      </c>
      <c r="AC284" s="42">
        <f t="shared" si="101"/>
        <v>0</v>
      </c>
      <c r="AD284" s="42">
        <f t="shared" si="101"/>
        <v>0</v>
      </c>
    </row>
    <row r="285" spans="1:30" ht="18" customHeight="1">
      <c r="C285" s="44"/>
      <c r="D285" s="42"/>
      <c r="E285" s="42"/>
      <c r="F285" s="42"/>
      <c r="G285" s="42"/>
      <c r="H285" s="42"/>
      <c r="I285" s="42"/>
      <c r="J285" s="42"/>
      <c r="K285" s="42"/>
      <c r="L285" s="42"/>
      <c r="M285" s="42"/>
      <c r="N285" s="42"/>
      <c r="O285" s="42"/>
      <c r="P285" s="42"/>
      <c r="Q285" s="42"/>
      <c r="R285" s="42"/>
      <c r="S285" s="42"/>
      <c r="T285" s="42"/>
      <c r="U285" s="42"/>
      <c r="V285" s="42"/>
      <c r="W285" s="42"/>
      <c r="X285" s="42"/>
      <c r="Y285" s="42"/>
      <c r="Z285" s="42"/>
      <c r="AA285" s="42"/>
      <c r="AB285" s="42"/>
      <c r="AC285" s="42"/>
      <c r="AD285" s="42"/>
    </row>
    <row r="286" spans="1:30" ht="33" customHeight="1" outlineLevel="1">
      <c r="A286" s="24" t="s">
        <v>203</v>
      </c>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row>
    <row r="287" spans="1:30" outlineLevel="1">
      <c r="A287" s="45" t="s">
        <v>104</v>
      </c>
      <c r="B287" s="13" t="s">
        <v>99</v>
      </c>
      <c r="C287" s="38"/>
      <c r="D287" s="47">
        <f t="shared" ref="D287:AD287" si="102">IF(D178=0,0,D177)</f>
        <v>0</v>
      </c>
      <c r="E287" s="47">
        <f t="shared" si="102"/>
        <v>0</v>
      </c>
      <c r="F287" s="47">
        <f t="shared" si="102"/>
        <v>0.55000000000000004</v>
      </c>
      <c r="G287" s="47">
        <f t="shared" si="102"/>
        <v>0.55000000000000004</v>
      </c>
      <c r="H287" s="47">
        <f t="shared" si="102"/>
        <v>0.55000000000000004</v>
      </c>
      <c r="I287" s="47">
        <f t="shared" si="102"/>
        <v>0.55000000000000004</v>
      </c>
      <c r="J287" s="47">
        <f t="shared" si="102"/>
        <v>0.55000000000000004</v>
      </c>
      <c r="K287" s="47">
        <f t="shared" si="102"/>
        <v>0.55000000000000004</v>
      </c>
      <c r="L287" s="47">
        <f t="shared" si="102"/>
        <v>0.55000000000000004</v>
      </c>
      <c r="M287" s="47">
        <f t="shared" si="102"/>
        <v>0.55000000000000004</v>
      </c>
      <c r="N287" s="47">
        <f t="shared" si="102"/>
        <v>0.55000000000000004</v>
      </c>
      <c r="O287" s="47">
        <f t="shared" si="102"/>
        <v>0.55000000000000004</v>
      </c>
      <c r="P287" s="47">
        <f t="shared" si="102"/>
        <v>0.55000000000000004</v>
      </c>
      <c r="Q287" s="47">
        <f t="shared" si="102"/>
        <v>0</v>
      </c>
      <c r="R287" s="47">
        <f t="shared" si="102"/>
        <v>0</v>
      </c>
      <c r="S287" s="47">
        <f t="shared" si="102"/>
        <v>0</v>
      </c>
      <c r="T287" s="47">
        <f t="shared" si="102"/>
        <v>0</v>
      </c>
      <c r="U287" s="47">
        <f t="shared" si="102"/>
        <v>0</v>
      </c>
      <c r="V287" s="47">
        <f t="shared" si="102"/>
        <v>0</v>
      </c>
      <c r="W287" s="47">
        <f t="shared" si="102"/>
        <v>0</v>
      </c>
      <c r="X287" s="47">
        <f t="shared" si="102"/>
        <v>0</v>
      </c>
      <c r="Y287" s="47">
        <f t="shared" si="102"/>
        <v>0</v>
      </c>
      <c r="Z287" s="47">
        <f t="shared" si="102"/>
        <v>0</v>
      </c>
      <c r="AA287" s="47">
        <f t="shared" si="102"/>
        <v>0</v>
      </c>
      <c r="AB287" s="47">
        <f t="shared" si="102"/>
        <v>0</v>
      </c>
      <c r="AC287" s="47">
        <f t="shared" si="102"/>
        <v>0</v>
      </c>
      <c r="AD287" s="47">
        <f t="shared" si="102"/>
        <v>0</v>
      </c>
    </row>
    <row r="288" spans="1:30" s="134" customFormat="1" outlineLevel="1">
      <c r="A288" s="63" t="str">
        <f>'Expected NPV &amp; Common Data'!A70</f>
        <v>28 Nov 2025 M McKenzie email: Mo concentrate price = 83% of contained Mo.   (varies between 80% and 85%)</v>
      </c>
      <c r="B288" s="63"/>
      <c r="C288" s="63"/>
      <c r="D288" s="264"/>
      <c r="E288" s="264"/>
      <c r="F288" s="264"/>
      <c r="G288" s="264"/>
      <c r="H288" s="264"/>
      <c r="I288" s="264"/>
      <c r="J288" s="264"/>
      <c r="K288" s="264"/>
      <c r="L288" s="264"/>
      <c r="M288" s="264"/>
      <c r="N288" s="264"/>
      <c r="O288" s="264"/>
      <c r="P288" s="264"/>
      <c r="Q288" s="264"/>
      <c r="R288" s="264"/>
      <c r="S288" s="264"/>
      <c r="T288" s="264"/>
      <c r="U288" s="264"/>
      <c r="V288" s="264"/>
      <c r="W288" s="264"/>
      <c r="X288" s="264"/>
      <c r="Y288" s="264"/>
      <c r="Z288" s="264"/>
      <c r="AA288" s="264"/>
      <c r="AB288" s="264"/>
      <c r="AC288" s="264"/>
      <c r="AD288" s="264"/>
    </row>
    <row r="289" spans="1:30" outlineLevel="1">
      <c r="A289" s="247" t="str">
        <f>'Expected NPV &amp; Common Data'!A71</f>
        <v>moly conc - payable</v>
      </c>
      <c r="B289" s="247" t="str">
        <f>'Expected NPV &amp; Common Data'!B71</f>
        <v>% of contained Mo</v>
      </c>
      <c r="C289" s="247"/>
      <c r="D289" s="263">
        <f>'Expected NPV &amp; Common Data'!D71</f>
        <v>0.83</v>
      </c>
      <c r="E289" s="263">
        <f>'Expected NPV &amp; Common Data'!E71</f>
        <v>0.83</v>
      </c>
      <c r="F289" s="263">
        <f>'Expected NPV &amp; Common Data'!F71</f>
        <v>0.83</v>
      </c>
      <c r="G289" s="263">
        <f>'Expected NPV &amp; Common Data'!G71</f>
        <v>0.83</v>
      </c>
      <c r="H289" s="263">
        <f>'Expected NPV &amp; Common Data'!H71</f>
        <v>0.83</v>
      </c>
      <c r="I289" s="263">
        <f>'Expected NPV &amp; Common Data'!I71</f>
        <v>0.83</v>
      </c>
      <c r="J289" s="263">
        <f>'Expected NPV &amp; Common Data'!J71</f>
        <v>0.83</v>
      </c>
      <c r="K289" s="263">
        <f>'Expected NPV &amp; Common Data'!K71</f>
        <v>0.83</v>
      </c>
      <c r="L289" s="263">
        <f>'Expected NPV &amp; Common Data'!L71</f>
        <v>0.83</v>
      </c>
      <c r="M289" s="263">
        <f>'Expected NPV &amp; Common Data'!M71</f>
        <v>0.83</v>
      </c>
      <c r="N289" s="263">
        <f>'Expected NPV &amp; Common Data'!N71</f>
        <v>0.83</v>
      </c>
      <c r="O289" s="263">
        <f>'Expected NPV &amp; Common Data'!O71</f>
        <v>0.83</v>
      </c>
      <c r="P289" s="263">
        <f>'Expected NPV &amp; Common Data'!P71</f>
        <v>0.83</v>
      </c>
      <c r="Q289" s="263">
        <f>'Expected NPV &amp; Common Data'!Q71</f>
        <v>0.83</v>
      </c>
      <c r="R289" s="263">
        <f>'Expected NPV &amp; Common Data'!R71</f>
        <v>0.83</v>
      </c>
      <c r="S289" s="263">
        <f>'Expected NPV &amp; Common Data'!S71</f>
        <v>0.83</v>
      </c>
      <c r="T289" s="263">
        <f>'Expected NPV &amp; Common Data'!T71</f>
        <v>0.83</v>
      </c>
      <c r="U289" s="263">
        <f>'Expected NPV &amp; Common Data'!U71</f>
        <v>0.83</v>
      </c>
      <c r="V289" s="263">
        <f>'Expected NPV &amp; Common Data'!V71</f>
        <v>0.83</v>
      </c>
      <c r="W289" s="263">
        <f>'Expected NPV &amp; Common Data'!W71</f>
        <v>0.83</v>
      </c>
      <c r="X289" s="263">
        <f>'Expected NPV &amp; Common Data'!X71</f>
        <v>0.83</v>
      </c>
      <c r="Y289" s="263">
        <f>'Expected NPV &amp; Common Data'!Y71</f>
        <v>0.83</v>
      </c>
      <c r="Z289" s="263">
        <f>'Expected NPV &amp; Common Data'!Z71</f>
        <v>0.83</v>
      </c>
      <c r="AA289" s="263">
        <f>'Expected NPV &amp; Common Data'!AA71</f>
        <v>0.83</v>
      </c>
      <c r="AB289" s="263">
        <f>'Expected NPV &amp; Common Data'!AB71</f>
        <v>0.83</v>
      </c>
      <c r="AC289" s="263">
        <f>'Expected NPV &amp; Common Data'!AC71</f>
        <v>0.83</v>
      </c>
      <c r="AD289" s="263">
        <f>'Expected NPV &amp; Common Data'!AD71</f>
        <v>0.83</v>
      </c>
    </row>
    <row r="290" spans="1:30" outlineLevel="1">
      <c r="A290" s="45" t="s">
        <v>118</v>
      </c>
      <c r="B290" s="13" t="s">
        <v>63</v>
      </c>
      <c r="C290" s="38"/>
      <c r="D290" s="47">
        <f t="shared" ref="D290:AD290" si="103">D287*D289</f>
        <v>0</v>
      </c>
      <c r="E290" s="47">
        <f t="shared" si="103"/>
        <v>0</v>
      </c>
      <c r="F290" s="47">
        <f t="shared" si="103"/>
        <v>0.45650000000000002</v>
      </c>
      <c r="G290" s="47">
        <f t="shared" si="103"/>
        <v>0.45650000000000002</v>
      </c>
      <c r="H290" s="47">
        <f t="shared" si="103"/>
        <v>0.45650000000000002</v>
      </c>
      <c r="I290" s="47">
        <f t="shared" si="103"/>
        <v>0.45650000000000002</v>
      </c>
      <c r="J290" s="47">
        <f t="shared" si="103"/>
        <v>0.45650000000000002</v>
      </c>
      <c r="K290" s="47">
        <f t="shared" si="103"/>
        <v>0.45650000000000002</v>
      </c>
      <c r="L290" s="47">
        <f t="shared" si="103"/>
        <v>0.45650000000000002</v>
      </c>
      <c r="M290" s="47">
        <f t="shared" si="103"/>
        <v>0.45650000000000002</v>
      </c>
      <c r="N290" s="47">
        <f t="shared" si="103"/>
        <v>0.45650000000000002</v>
      </c>
      <c r="O290" s="47">
        <f t="shared" si="103"/>
        <v>0.45650000000000002</v>
      </c>
      <c r="P290" s="47">
        <f t="shared" si="103"/>
        <v>0.45650000000000002</v>
      </c>
      <c r="Q290" s="47">
        <f t="shared" si="103"/>
        <v>0</v>
      </c>
      <c r="R290" s="47">
        <f t="shared" si="103"/>
        <v>0</v>
      </c>
      <c r="S290" s="47">
        <f t="shared" si="103"/>
        <v>0</v>
      </c>
      <c r="T290" s="47">
        <f t="shared" si="103"/>
        <v>0</v>
      </c>
      <c r="U290" s="47">
        <f t="shared" si="103"/>
        <v>0</v>
      </c>
      <c r="V290" s="47">
        <f t="shared" si="103"/>
        <v>0</v>
      </c>
      <c r="W290" s="47">
        <f t="shared" si="103"/>
        <v>0</v>
      </c>
      <c r="X290" s="47">
        <f t="shared" si="103"/>
        <v>0</v>
      </c>
      <c r="Y290" s="47">
        <f t="shared" si="103"/>
        <v>0</v>
      </c>
      <c r="Z290" s="47">
        <f t="shared" si="103"/>
        <v>0</v>
      </c>
      <c r="AA290" s="47">
        <f t="shared" si="103"/>
        <v>0</v>
      </c>
      <c r="AB290" s="47">
        <f t="shared" si="103"/>
        <v>0</v>
      </c>
      <c r="AC290" s="47">
        <f t="shared" si="103"/>
        <v>0</v>
      </c>
      <c r="AD290" s="47">
        <f t="shared" si="103"/>
        <v>0</v>
      </c>
    </row>
    <row r="291" spans="1:30" outlineLevel="1">
      <c r="A291" s="13" t="str">
        <f>A103</f>
        <v>Moly price forecast - mid case</v>
      </c>
      <c r="B291" s="13" t="str">
        <f>B103</f>
        <v>US$/ lb real</v>
      </c>
      <c r="C291" s="44"/>
      <c r="D291" s="57">
        <f t="shared" ref="D291:AD291" si="104">D103</f>
        <v>20</v>
      </c>
      <c r="E291" s="57">
        <f t="shared" si="104"/>
        <v>20</v>
      </c>
      <c r="F291" s="57">
        <f t="shared" si="104"/>
        <v>20</v>
      </c>
      <c r="G291" s="57">
        <f t="shared" si="104"/>
        <v>20</v>
      </c>
      <c r="H291" s="57">
        <f t="shared" si="104"/>
        <v>20</v>
      </c>
      <c r="I291" s="57">
        <f t="shared" si="104"/>
        <v>20</v>
      </c>
      <c r="J291" s="57">
        <f t="shared" si="104"/>
        <v>20</v>
      </c>
      <c r="K291" s="57">
        <f t="shared" si="104"/>
        <v>20</v>
      </c>
      <c r="L291" s="57">
        <f t="shared" si="104"/>
        <v>20</v>
      </c>
      <c r="M291" s="57">
        <f t="shared" si="104"/>
        <v>20</v>
      </c>
      <c r="N291" s="57">
        <f t="shared" si="104"/>
        <v>20</v>
      </c>
      <c r="O291" s="57">
        <f t="shared" si="104"/>
        <v>20</v>
      </c>
      <c r="P291" s="57">
        <f t="shared" si="104"/>
        <v>20</v>
      </c>
      <c r="Q291" s="57">
        <f t="shared" si="104"/>
        <v>20</v>
      </c>
      <c r="R291" s="57">
        <f t="shared" si="104"/>
        <v>20</v>
      </c>
      <c r="S291" s="57">
        <f t="shared" si="104"/>
        <v>20</v>
      </c>
      <c r="T291" s="57">
        <f t="shared" si="104"/>
        <v>20</v>
      </c>
      <c r="U291" s="57">
        <f t="shared" si="104"/>
        <v>20</v>
      </c>
      <c r="V291" s="57">
        <f t="shared" si="104"/>
        <v>20</v>
      </c>
      <c r="W291" s="57">
        <f t="shared" si="104"/>
        <v>20</v>
      </c>
      <c r="X291" s="57">
        <f t="shared" si="104"/>
        <v>20</v>
      </c>
      <c r="Y291" s="57">
        <f t="shared" si="104"/>
        <v>20</v>
      </c>
      <c r="Z291" s="57">
        <f t="shared" si="104"/>
        <v>20</v>
      </c>
      <c r="AA291" s="57">
        <f t="shared" si="104"/>
        <v>20</v>
      </c>
      <c r="AB291" s="57">
        <f t="shared" si="104"/>
        <v>20</v>
      </c>
      <c r="AC291" s="57">
        <f t="shared" si="104"/>
        <v>20</v>
      </c>
      <c r="AD291" s="57">
        <f t="shared" si="104"/>
        <v>20</v>
      </c>
    </row>
    <row r="292" spans="1:30" s="14" customFormat="1" outlineLevel="1">
      <c r="A292" s="14" t="s">
        <v>120</v>
      </c>
      <c r="B292" s="13" t="s">
        <v>63</v>
      </c>
      <c r="C292" s="44"/>
      <c r="D292" s="48">
        <f t="shared" ref="D292:AD292" si="105">D290*D291*2204.6</f>
        <v>0</v>
      </c>
      <c r="E292" s="48">
        <f t="shared" si="105"/>
        <v>0</v>
      </c>
      <c r="F292" s="48">
        <f t="shared" si="105"/>
        <v>20127.998</v>
      </c>
      <c r="G292" s="48">
        <f t="shared" si="105"/>
        <v>20127.998</v>
      </c>
      <c r="H292" s="48">
        <f t="shared" si="105"/>
        <v>20127.998</v>
      </c>
      <c r="I292" s="48">
        <f t="shared" si="105"/>
        <v>20127.998</v>
      </c>
      <c r="J292" s="48">
        <f t="shared" si="105"/>
        <v>20127.998</v>
      </c>
      <c r="K292" s="48">
        <f t="shared" si="105"/>
        <v>20127.998</v>
      </c>
      <c r="L292" s="48">
        <f t="shared" si="105"/>
        <v>20127.998</v>
      </c>
      <c r="M292" s="48">
        <f t="shared" si="105"/>
        <v>20127.998</v>
      </c>
      <c r="N292" s="48">
        <f t="shared" si="105"/>
        <v>20127.998</v>
      </c>
      <c r="O292" s="48">
        <f t="shared" si="105"/>
        <v>20127.998</v>
      </c>
      <c r="P292" s="48">
        <f t="shared" si="105"/>
        <v>20127.998</v>
      </c>
      <c r="Q292" s="48">
        <f t="shared" si="105"/>
        <v>0</v>
      </c>
      <c r="R292" s="48">
        <f t="shared" si="105"/>
        <v>0</v>
      </c>
      <c r="S292" s="48">
        <f t="shared" si="105"/>
        <v>0</v>
      </c>
      <c r="T292" s="48">
        <f t="shared" si="105"/>
        <v>0</v>
      </c>
      <c r="U292" s="48">
        <f t="shared" si="105"/>
        <v>0</v>
      </c>
      <c r="V292" s="48">
        <f t="shared" si="105"/>
        <v>0</v>
      </c>
      <c r="W292" s="48">
        <f t="shared" si="105"/>
        <v>0</v>
      </c>
      <c r="X292" s="48">
        <f t="shared" si="105"/>
        <v>0</v>
      </c>
      <c r="Y292" s="48">
        <f t="shared" si="105"/>
        <v>0</v>
      </c>
      <c r="Z292" s="48">
        <f t="shared" si="105"/>
        <v>0</v>
      </c>
      <c r="AA292" s="48">
        <f t="shared" si="105"/>
        <v>0</v>
      </c>
      <c r="AB292" s="48">
        <f t="shared" si="105"/>
        <v>0</v>
      </c>
      <c r="AC292" s="48">
        <f t="shared" si="105"/>
        <v>0</v>
      </c>
      <c r="AD292" s="48">
        <f t="shared" si="105"/>
        <v>0</v>
      </c>
    </row>
    <row r="293" spans="1:30" ht="51" customHeight="1">
      <c r="A293" s="23" t="s">
        <v>112</v>
      </c>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c r="AA293" s="42"/>
      <c r="AB293" s="42"/>
      <c r="AC293" s="42"/>
      <c r="AD293" s="42"/>
    </row>
    <row r="294" spans="1:30" s="8" customFormat="1" ht="15.5" outlineLevel="1">
      <c r="A294" s="242" t="str">
        <f>'Expected NPV &amp; Common Data'!A$36</f>
        <v>Calendar Year --&gt;</v>
      </c>
      <c r="B294" s="243" t="str">
        <f>'Expected NPV &amp; Common Data'!B$36</f>
        <v>units</v>
      </c>
      <c r="C294" s="244" t="str">
        <f>'Expected NPV &amp; Common Data'!C$36</f>
        <v>Total</v>
      </c>
      <c r="D294" s="245">
        <f>'Expected NPV &amp; Common Data'!D$36</f>
        <v>2027</v>
      </c>
      <c r="E294" s="245">
        <f>'Expected NPV &amp; Common Data'!E$36</f>
        <v>2028</v>
      </c>
      <c r="F294" s="245">
        <f>'Expected NPV &amp; Common Data'!F$36</f>
        <v>2029</v>
      </c>
      <c r="G294" s="245">
        <f>'Expected NPV &amp; Common Data'!G$36</f>
        <v>2030</v>
      </c>
      <c r="H294" s="245">
        <f>'Expected NPV &amp; Common Data'!H$36</f>
        <v>2031</v>
      </c>
      <c r="I294" s="245">
        <f>'Expected NPV &amp; Common Data'!I$36</f>
        <v>2032</v>
      </c>
      <c r="J294" s="245">
        <f>'Expected NPV &amp; Common Data'!J$36</f>
        <v>2033</v>
      </c>
      <c r="K294" s="245">
        <f>'Expected NPV &amp; Common Data'!K$36</f>
        <v>2034</v>
      </c>
      <c r="L294" s="245">
        <f>'Expected NPV &amp; Common Data'!L$36</f>
        <v>2035</v>
      </c>
      <c r="M294" s="245">
        <f>'Expected NPV &amp; Common Data'!M$36</f>
        <v>2036</v>
      </c>
      <c r="N294" s="245">
        <f>'Expected NPV &amp; Common Data'!N$36</f>
        <v>2037</v>
      </c>
      <c r="O294" s="245">
        <f>'Expected NPV &amp; Common Data'!O$36</f>
        <v>2038</v>
      </c>
      <c r="P294" s="245">
        <f>'Expected NPV &amp; Common Data'!P$36</f>
        <v>2039</v>
      </c>
      <c r="Q294" s="245">
        <f>'Expected NPV &amp; Common Data'!Q$36</f>
        <v>2040</v>
      </c>
      <c r="R294" s="245">
        <f>'Expected NPV &amp; Common Data'!R$36</f>
        <v>2041</v>
      </c>
      <c r="S294" s="245">
        <f>'Expected NPV &amp; Common Data'!S$36</f>
        <v>2042</v>
      </c>
      <c r="T294" s="245">
        <f>'Expected NPV &amp; Common Data'!T$36</f>
        <v>2043</v>
      </c>
      <c r="U294" s="245">
        <f>'Expected NPV &amp; Common Data'!U$36</f>
        <v>2044</v>
      </c>
      <c r="V294" s="245">
        <f>'Expected NPV &amp; Common Data'!V$36</f>
        <v>2045</v>
      </c>
      <c r="W294" s="245">
        <f>'Expected NPV &amp; Common Data'!W$36</f>
        <v>2046</v>
      </c>
      <c r="X294" s="245">
        <f>'Expected NPV &amp; Common Data'!X$36</f>
        <v>2047</v>
      </c>
      <c r="Y294" s="245">
        <f>'Expected NPV &amp; Common Data'!Y$36</f>
        <v>2048</v>
      </c>
      <c r="Z294" s="245">
        <f>'Expected NPV &amp; Common Data'!Z$36</f>
        <v>2049</v>
      </c>
      <c r="AA294" s="245">
        <f>'Expected NPV &amp; Common Data'!AA$36</f>
        <v>2050</v>
      </c>
      <c r="AB294" s="245">
        <f>'Expected NPV &amp; Common Data'!AB$36</f>
        <v>2051</v>
      </c>
      <c r="AC294" s="245">
        <f>'Expected NPV &amp; Common Data'!AC$36</f>
        <v>2052</v>
      </c>
      <c r="AD294" s="245">
        <f>'Expected NPV &amp; Common Data'!AD$36</f>
        <v>2053</v>
      </c>
    </row>
    <row r="295" spans="1:30" outlineLevel="1">
      <c r="A295" s="50" t="s">
        <v>114</v>
      </c>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row>
    <row r="296" spans="1:30" outlineLevel="1">
      <c r="A296" s="13" t="str">
        <f>A192</f>
        <v>copper concentrate sold</v>
      </c>
      <c r="B296" s="13" t="str">
        <f>B192</f>
        <v>000 tonnes DRY</v>
      </c>
      <c r="C296" s="44">
        <f>SUM(D296:AD296)</f>
        <v>3079.4322580645166</v>
      </c>
      <c r="D296" s="42">
        <f t="shared" ref="D296:AD296" si="106">D192</f>
        <v>0</v>
      </c>
      <c r="E296" s="42">
        <f t="shared" si="106"/>
        <v>0</v>
      </c>
      <c r="F296" s="42">
        <f t="shared" si="106"/>
        <v>114.40839854934146</v>
      </c>
      <c r="G296" s="42">
        <f t="shared" si="106"/>
        <v>204.22584462683716</v>
      </c>
      <c r="H296" s="42">
        <f t="shared" si="106"/>
        <v>218.01290322580644</v>
      </c>
      <c r="I296" s="42">
        <f t="shared" si="106"/>
        <v>218.01290322580644</v>
      </c>
      <c r="J296" s="42">
        <f t="shared" si="106"/>
        <v>225.81347585417063</v>
      </c>
      <c r="K296" s="42">
        <f t="shared" si="106"/>
        <v>207.29467455621301</v>
      </c>
      <c r="L296" s="42">
        <f t="shared" si="106"/>
        <v>206.03825157472801</v>
      </c>
      <c r="M296" s="42">
        <f t="shared" si="106"/>
        <v>206.65806451612906</v>
      </c>
      <c r="N296" s="42">
        <f t="shared" si="106"/>
        <v>206.65806451612906</v>
      </c>
      <c r="O296" s="42">
        <f t="shared" si="106"/>
        <v>206.65806451612906</v>
      </c>
      <c r="P296" s="42">
        <f t="shared" si="106"/>
        <v>207.30811223515937</v>
      </c>
      <c r="Q296" s="42">
        <f t="shared" si="106"/>
        <v>201.16037411719793</v>
      </c>
      <c r="R296" s="42">
        <f t="shared" si="106"/>
        <v>199.84516129032258</v>
      </c>
      <c r="S296" s="42">
        <f t="shared" si="106"/>
        <v>199.84516129032258</v>
      </c>
      <c r="T296" s="42">
        <f t="shared" si="106"/>
        <v>257.49280397022335</v>
      </c>
      <c r="U296" s="42">
        <f t="shared" si="106"/>
        <v>0</v>
      </c>
      <c r="V296" s="42">
        <f t="shared" si="106"/>
        <v>0</v>
      </c>
      <c r="W296" s="42">
        <f t="shared" si="106"/>
        <v>0</v>
      </c>
      <c r="X296" s="42">
        <f t="shared" si="106"/>
        <v>0</v>
      </c>
      <c r="Y296" s="42">
        <f t="shared" si="106"/>
        <v>0</v>
      </c>
      <c r="Z296" s="42">
        <f t="shared" si="106"/>
        <v>0</v>
      </c>
      <c r="AA296" s="42">
        <f t="shared" si="106"/>
        <v>0</v>
      </c>
      <c r="AB296" s="42">
        <f t="shared" si="106"/>
        <v>0</v>
      </c>
      <c r="AC296" s="42">
        <f t="shared" si="106"/>
        <v>0</v>
      </c>
      <c r="AD296" s="42">
        <f t="shared" si="106"/>
        <v>0</v>
      </c>
    </row>
    <row r="297" spans="1:30" outlineLevel="1">
      <c r="A297" s="13" t="str">
        <f>A280</f>
        <v>Copper concentrate - net price received</v>
      </c>
      <c r="B297" s="13" t="str">
        <f>B280</f>
        <v>US$/ tonne concentrate  Real</v>
      </c>
      <c r="C297" s="42"/>
      <c r="D297" s="42">
        <f t="shared" ref="D297:AD297" si="107">D280</f>
        <v>0</v>
      </c>
      <c r="E297" s="42">
        <f t="shared" si="107"/>
        <v>0</v>
      </c>
      <c r="F297" s="42">
        <f t="shared" si="107"/>
        <v>2902.0441075032732</v>
      </c>
      <c r="G297" s="42">
        <f t="shared" si="107"/>
        <v>2902.0441075032732</v>
      </c>
      <c r="H297" s="42">
        <f t="shared" si="107"/>
        <v>2902.0441075032732</v>
      </c>
      <c r="I297" s="42">
        <f t="shared" si="107"/>
        <v>2902.0441075032732</v>
      </c>
      <c r="J297" s="42">
        <f t="shared" si="107"/>
        <v>2902.0441075032732</v>
      </c>
      <c r="K297" s="42">
        <f t="shared" si="107"/>
        <v>2878.7118702645271</v>
      </c>
      <c r="L297" s="42">
        <f t="shared" si="107"/>
        <v>2863.4991580336978</v>
      </c>
      <c r="M297" s="42">
        <f t="shared" si="107"/>
        <v>2863.4991580336978</v>
      </c>
      <c r="N297" s="42">
        <f t="shared" si="107"/>
        <v>2863.4991580336978</v>
      </c>
      <c r="O297" s="42">
        <f t="shared" si="107"/>
        <v>2863.4991580336978</v>
      </c>
      <c r="P297" s="42">
        <f t="shared" si="107"/>
        <v>2865.288884721801</v>
      </c>
      <c r="Q297" s="42">
        <f t="shared" si="107"/>
        <v>2847.3983971085299</v>
      </c>
      <c r="R297" s="42">
        <f t="shared" si="107"/>
        <v>2847.3983971085299</v>
      </c>
      <c r="S297" s="42">
        <f t="shared" si="107"/>
        <v>2847.3983971085299</v>
      </c>
      <c r="T297" s="42">
        <f t="shared" si="107"/>
        <v>2847.3983971085299</v>
      </c>
      <c r="U297" s="42">
        <f t="shared" si="107"/>
        <v>0</v>
      </c>
      <c r="V297" s="42">
        <f t="shared" si="107"/>
        <v>0</v>
      </c>
      <c r="W297" s="42">
        <f t="shared" si="107"/>
        <v>0</v>
      </c>
      <c r="X297" s="42">
        <f t="shared" si="107"/>
        <v>0</v>
      </c>
      <c r="Y297" s="42">
        <f t="shared" si="107"/>
        <v>0</v>
      </c>
      <c r="Z297" s="42">
        <f t="shared" si="107"/>
        <v>0</v>
      </c>
      <c r="AA297" s="42">
        <f t="shared" si="107"/>
        <v>0</v>
      </c>
      <c r="AB297" s="42">
        <f t="shared" si="107"/>
        <v>0</v>
      </c>
      <c r="AC297" s="42">
        <f t="shared" si="107"/>
        <v>0</v>
      </c>
      <c r="AD297" s="42">
        <f t="shared" si="107"/>
        <v>0</v>
      </c>
    </row>
    <row r="298" spans="1:30" s="14" customFormat="1" outlineLevel="1">
      <c r="A298" s="14" t="s">
        <v>114</v>
      </c>
      <c r="B298" s="13" t="s">
        <v>82</v>
      </c>
      <c r="C298" s="44">
        <f>SUM(D298:AD298)</f>
        <v>8845.4485362817159</v>
      </c>
      <c r="D298" s="44">
        <f t="shared" ref="D298:AD298" si="108">D280*D192/1000</f>
        <v>0</v>
      </c>
      <c r="E298" s="44">
        <f t="shared" si="108"/>
        <v>0</v>
      </c>
      <c r="F298" s="44">
        <f t="shared" si="108"/>
        <v>332.01821885900239</v>
      </c>
      <c r="G298" s="44">
        <f t="shared" si="108"/>
        <v>592.67240899919182</v>
      </c>
      <c r="H298" s="44">
        <f t="shared" si="108"/>
        <v>632.68306116613292</v>
      </c>
      <c r="I298" s="44">
        <f t="shared" si="108"/>
        <v>632.68306116613292</v>
      </c>
      <c r="J298" s="44">
        <f t="shared" si="108"/>
        <v>655.32066699742848</v>
      </c>
      <c r="K298" s="44">
        <f t="shared" si="108"/>
        <v>596.74164028759242</v>
      </c>
      <c r="L298" s="44">
        <f t="shared" si="108"/>
        <v>589.99035990696893</v>
      </c>
      <c r="M298" s="44">
        <f t="shared" si="108"/>
        <v>591.76519374280917</v>
      </c>
      <c r="N298" s="44">
        <f t="shared" si="108"/>
        <v>591.76519374280917</v>
      </c>
      <c r="O298" s="44">
        <f t="shared" si="108"/>
        <v>591.76519374280917</v>
      </c>
      <c r="P298" s="44">
        <f t="shared" si="108"/>
        <v>593.99762970006179</v>
      </c>
      <c r="Q298" s="44">
        <f t="shared" si="108"/>
        <v>572.78372682306156</v>
      </c>
      <c r="R298" s="44">
        <f t="shared" si="108"/>
        <v>569.03879192796012</v>
      </c>
      <c r="S298" s="44">
        <f t="shared" si="108"/>
        <v>569.03879192796012</v>
      </c>
      <c r="T298" s="44">
        <f t="shared" si="108"/>
        <v>733.18459729179483</v>
      </c>
      <c r="U298" s="44">
        <f t="shared" si="108"/>
        <v>0</v>
      </c>
      <c r="V298" s="44">
        <f t="shared" si="108"/>
        <v>0</v>
      </c>
      <c r="W298" s="44">
        <f t="shared" si="108"/>
        <v>0</v>
      </c>
      <c r="X298" s="44">
        <f t="shared" si="108"/>
        <v>0</v>
      </c>
      <c r="Y298" s="44">
        <f t="shared" si="108"/>
        <v>0</v>
      </c>
      <c r="Z298" s="44">
        <f t="shared" si="108"/>
        <v>0</v>
      </c>
      <c r="AA298" s="44">
        <f t="shared" si="108"/>
        <v>0</v>
      </c>
      <c r="AB298" s="44">
        <f t="shared" si="108"/>
        <v>0</v>
      </c>
      <c r="AC298" s="44">
        <f t="shared" si="108"/>
        <v>0</v>
      </c>
      <c r="AD298" s="44">
        <f t="shared" si="108"/>
        <v>0</v>
      </c>
    </row>
    <row r="299" spans="1:30" s="134" customFormat="1" outlineLevel="1">
      <c r="A299" s="139"/>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c r="AA299" s="64"/>
      <c r="AB299" s="64"/>
      <c r="AC299" s="64"/>
      <c r="AD299" s="64"/>
    </row>
    <row r="300" spans="1:30" outlineLevel="1">
      <c r="A300" s="50" t="s">
        <v>115</v>
      </c>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row>
    <row r="301" spans="1:30" outlineLevel="1">
      <c r="A301" s="13" t="str">
        <f t="shared" ref="A301:AD301" si="109">A201</f>
        <v>moly concentrate sold</v>
      </c>
      <c r="B301" s="13" t="str">
        <f t="shared" si="109"/>
        <v>000 tonnes DRY</v>
      </c>
      <c r="C301" s="66">
        <f t="shared" si="109"/>
        <v>66.436363636363623</v>
      </c>
      <c r="D301" s="42">
        <f t="shared" si="109"/>
        <v>0</v>
      </c>
      <c r="E301" s="42">
        <f t="shared" si="109"/>
        <v>0</v>
      </c>
      <c r="F301" s="42">
        <f t="shared" si="109"/>
        <v>4.4733727810650876</v>
      </c>
      <c r="G301" s="42">
        <f t="shared" si="109"/>
        <v>8.3909628832705749</v>
      </c>
      <c r="H301" s="42">
        <f t="shared" si="109"/>
        <v>9.1636363636363622</v>
      </c>
      <c r="I301" s="42">
        <f t="shared" si="109"/>
        <v>9.1636363636363622</v>
      </c>
      <c r="J301" s="42">
        <f t="shared" si="109"/>
        <v>9.4686390532544369</v>
      </c>
      <c r="K301" s="42">
        <f t="shared" si="109"/>
        <v>6.8151156535771911</v>
      </c>
      <c r="L301" s="42">
        <f t="shared" si="109"/>
        <v>4.026035502958579</v>
      </c>
      <c r="M301" s="42">
        <f t="shared" si="109"/>
        <v>3.4363636363636361</v>
      </c>
      <c r="N301" s="42">
        <f t="shared" si="109"/>
        <v>3.4363636363636361</v>
      </c>
      <c r="O301" s="42">
        <f t="shared" si="109"/>
        <v>3.4363636363636361</v>
      </c>
      <c r="P301" s="42">
        <f t="shared" si="109"/>
        <v>4.6258741258741258</v>
      </c>
      <c r="Q301" s="42">
        <f t="shared" si="109"/>
        <v>0</v>
      </c>
      <c r="R301" s="42">
        <f t="shared" si="109"/>
        <v>0</v>
      </c>
      <c r="S301" s="42">
        <f t="shared" si="109"/>
        <v>0</v>
      </c>
      <c r="T301" s="42">
        <f t="shared" si="109"/>
        <v>0</v>
      </c>
      <c r="U301" s="42">
        <f t="shared" si="109"/>
        <v>0</v>
      </c>
      <c r="V301" s="42">
        <f t="shared" si="109"/>
        <v>0</v>
      </c>
      <c r="W301" s="42">
        <f t="shared" si="109"/>
        <v>0</v>
      </c>
      <c r="X301" s="42">
        <f t="shared" si="109"/>
        <v>0</v>
      </c>
      <c r="Y301" s="42">
        <f t="shared" si="109"/>
        <v>0</v>
      </c>
      <c r="Z301" s="42">
        <f t="shared" si="109"/>
        <v>0</v>
      </c>
      <c r="AA301" s="42">
        <f t="shared" si="109"/>
        <v>0</v>
      </c>
      <c r="AB301" s="42">
        <f t="shared" si="109"/>
        <v>0</v>
      </c>
      <c r="AC301" s="42">
        <f t="shared" si="109"/>
        <v>0</v>
      </c>
      <c r="AD301" s="42">
        <f t="shared" si="109"/>
        <v>0</v>
      </c>
    </row>
    <row r="302" spans="1:30" outlineLevel="1">
      <c r="A302" s="13" t="str">
        <f>A292</f>
        <v>Moly concentrate - net price received</v>
      </c>
      <c r="B302" s="13" t="str">
        <f>B292</f>
        <v>US$/ tonne concentrate  Real</v>
      </c>
      <c r="C302" s="42"/>
      <c r="D302" s="42">
        <f t="shared" ref="D302:AD302" si="110">D292</f>
        <v>0</v>
      </c>
      <c r="E302" s="42">
        <f t="shared" si="110"/>
        <v>0</v>
      </c>
      <c r="F302" s="42">
        <f t="shared" si="110"/>
        <v>20127.998</v>
      </c>
      <c r="G302" s="42">
        <f t="shared" si="110"/>
        <v>20127.998</v>
      </c>
      <c r="H302" s="42">
        <f t="shared" si="110"/>
        <v>20127.998</v>
      </c>
      <c r="I302" s="42">
        <f t="shared" si="110"/>
        <v>20127.998</v>
      </c>
      <c r="J302" s="42">
        <f t="shared" si="110"/>
        <v>20127.998</v>
      </c>
      <c r="K302" s="42">
        <f t="shared" si="110"/>
        <v>20127.998</v>
      </c>
      <c r="L302" s="42">
        <f t="shared" si="110"/>
        <v>20127.998</v>
      </c>
      <c r="M302" s="42">
        <f t="shared" si="110"/>
        <v>20127.998</v>
      </c>
      <c r="N302" s="42">
        <f t="shared" si="110"/>
        <v>20127.998</v>
      </c>
      <c r="O302" s="42">
        <f t="shared" si="110"/>
        <v>20127.998</v>
      </c>
      <c r="P302" s="42">
        <f t="shared" si="110"/>
        <v>20127.998</v>
      </c>
      <c r="Q302" s="42">
        <f t="shared" si="110"/>
        <v>0</v>
      </c>
      <c r="R302" s="42">
        <f t="shared" si="110"/>
        <v>0</v>
      </c>
      <c r="S302" s="42">
        <f t="shared" si="110"/>
        <v>0</v>
      </c>
      <c r="T302" s="42">
        <f t="shared" si="110"/>
        <v>0</v>
      </c>
      <c r="U302" s="42">
        <f t="shared" si="110"/>
        <v>0</v>
      </c>
      <c r="V302" s="42">
        <f t="shared" si="110"/>
        <v>0</v>
      </c>
      <c r="W302" s="42">
        <f t="shared" si="110"/>
        <v>0</v>
      </c>
      <c r="X302" s="42">
        <f t="shared" si="110"/>
        <v>0</v>
      </c>
      <c r="Y302" s="42">
        <f t="shared" si="110"/>
        <v>0</v>
      </c>
      <c r="Z302" s="42">
        <f t="shared" si="110"/>
        <v>0</v>
      </c>
      <c r="AA302" s="42">
        <f t="shared" si="110"/>
        <v>0</v>
      </c>
      <c r="AB302" s="42">
        <f t="shared" si="110"/>
        <v>0</v>
      </c>
      <c r="AC302" s="42">
        <f t="shared" si="110"/>
        <v>0</v>
      </c>
      <c r="AD302" s="42">
        <f t="shared" si="110"/>
        <v>0</v>
      </c>
    </row>
    <row r="303" spans="1:30" s="14" customFormat="1" outlineLevel="1">
      <c r="A303" s="14" t="s">
        <v>115</v>
      </c>
      <c r="B303" s="13" t="s">
        <v>82</v>
      </c>
      <c r="C303" s="44">
        <f>SUM(D303:AD303)</f>
        <v>1337.2309943999996</v>
      </c>
      <c r="D303" s="44">
        <f t="shared" ref="D303:AD303" si="111">D201*D292/1000</f>
        <v>0</v>
      </c>
      <c r="E303" s="44">
        <f t="shared" si="111"/>
        <v>0</v>
      </c>
      <c r="F303" s="44">
        <f t="shared" si="111"/>
        <v>90.040038390532516</v>
      </c>
      <c r="G303" s="44">
        <f t="shared" si="111"/>
        <v>168.89328413254435</v>
      </c>
      <c r="H303" s="44">
        <f t="shared" si="111"/>
        <v>184.44565439999997</v>
      </c>
      <c r="I303" s="44">
        <f t="shared" si="111"/>
        <v>184.44565439999997</v>
      </c>
      <c r="J303" s="44">
        <f t="shared" si="111"/>
        <v>190.58474792662719</v>
      </c>
      <c r="K303" s="44">
        <f t="shared" si="111"/>
        <v>137.17463424497041</v>
      </c>
      <c r="L303" s="44">
        <f t="shared" si="111"/>
        <v>81.036034551479275</v>
      </c>
      <c r="M303" s="44">
        <f t="shared" si="111"/>
        <v>69.167120400000002</v>
      </c>
      <c r="N303" s="44">
        <f t="shared" si="111"/>
        <v>69.167120400000002</v>
      </c>
      <c r="O303" s="44">
        <f t="shared" si="111"/>
        <v>69.167120400000002</v>
      </c>
      <c r="P303" s="44">
        <f t="shared" si="111"/>
        <v>93.109585153846155</v>
      </c>
      <c r="Q303" s="44">
        <f t="shared" si="111"/>
        <v>0</v>
      </c>
      <c r="R303" s="44">
        <f t="shared" si="111"/>
        <v>0</v>
      </c>
      <c r="S303" s="44">
        <f t="shared" si="111"/>
        <v>0</v>
      </c>
      <c r="T303" s="44">
        <f t="shared" si="111"/>
        <v>0</v>
      </c>
      <c r="U303" s="44">
        <f t="shared" si="111"/>
        <v>0</v>
      </c>
      <c r="V303" s="44">
        <f t="shared" si="111"/>
        <v>0</v>
      </c>
      <c r="W303" s="44">
        <f t="shared" si="111"/>
        <v>0</v>
      </c>
      <c r="X303" s="44">
        <f t="shared" si="111"/>
        <v>0</v>
      </c>
      <c r="Y303" s="44">
        <f t="shared" si="111"/>
        <v>0</v>
      </c>
      <c r="Z303" s="44">
        <f t="shared" si="111"/>
        <v>0</v>
      </c>
      <c r="AA303" s="44">
        <f t="shared" si="111"/>
        <v>0</v>
      </c>
      <c r="AB303" s="44">
        <f t="shared" si="111"/>
        <v>0</v>
      </c>
      <c r="AC303" s="44">
        <f t="shared" si="111"/>
        <v>0</v>
      </c>
      <c r="AD303" s="44">
        <f t="shared" si="111"/>
        <v>0</v>
      </c>
    </row>
    <row r="304" spans="1:30" s="134" customFormat="1" outlineLevel="1">
      <c r="A304" s="139"/>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c r="AA304" s="64"/>
      <c r="AB304" s="64"/>
      <c r="AC304" s="64"/>
      <c r="AD304" s="64"/>
    </row>
    <row r="305" spans="1:30" s="65" customFormat="1" outlineLevel="1">
      <c r="A305" s="134" t="s">
        <v>548</v>
      </c>
      <c r="B305" s="52"/>
      <c r="C305" s="54"/>
      <c r="D305" s="54"/>
      <c r="E305" s="54"/>
      <c r="F305" s="54"/>
      <c r="G305" s="54"/>
      <c r="H305" s="54"/>
      <c r="I305" s="54"/>
      <c r="J305" s="54"/>
      <c r="K305" s="54"/>
      <c r="L305" s="54"/>
      <c r="M305" s="54"/>
      <c r="N305" s="54"/>
      <c r="O305" s="54"/>
      <c r="P305" s="54"/>
      <c r="Q305" s="54"/>
      <c r="R305" s="54"/>
      <c r="S305" s="54"/>
      <c r="T305" s="54"/>
      <c r="U305" s="54"/>
      <c r="V305" s="54"/>
      <c r="W305" s="54"/>
      <c r="X305" s="54"/>
      <c r="Y305" s="54"/>
      <c r="Z305" s="54"/>
      <c r="AA305" s="54"/>
      <c r="AB305" s="54"/>
      <c r="AC305" s="54"/>
      <c r="AD305" s="54"/>
    </row>
    <row r="306" spans="1:30" s="18" customFormat="1" ht="30.65" customHeight="1" outlineLevel="1">
      <c r="A306" s="28" t="s">
        <v>116</v>
      </c>
      <c r="B306" s="18" t="s">
        <v>82</v>
      </c>
      <c r="C306" s="29">
        <f>SUM(D306:AD306)</f>
        <v>10182.679530681717</v>
      </c>
      <c r="D306" s="29">
        <f t="shared" ref="D306:AD306" si="112">D298+D303</f>
        <v>0</v>
      </c>
      <c r="E306" s="29">
        <f t="shared" si="112"/>
        <v>0</v>
      </c>
      <c r="F306" s="29">
        <f t="shared" si="112"/>
        <v>422.0582572495349</v>
      </c>
      <c r="G306" s="29">
        <f t="shared" si="112"/>
        <v>761.56569313173623</v>
      </c>
      <c r="H306" s="29">
        <f t="shared" si="112"/>
        <v>817.12871556613288</v>
      </c>
      <c r="I306" s="29">
        <f t="shared" si="112"/>
        <v>817.12871556613288</v>
      </c>
      <c r="J306" s="29">
        <f t="shared" si="112"/>
        <v>845.90541492405566</v>
      </c>
      <c r="K306" s="29">
        <f t="shared" si="112"/>
        <v>733.91627453256285</v>
      </c>
      <c r="L306" s="29">
        <f t="shared" si="112"/>
        <v>671.02639445844818</v>
      </c>
      <c r="M306" s="29">
        <f t="shared" si="112"/>
        <v>660.93231414280922</v>
      </c>
      <c r="N306" s="29">
        <f t="shared" si="112"/>
        <v>660.93231414280922</v>
      </c>
      <c r="O306" s="29">
        <f t="shared" si="112"/>
        <v>660.93231414280922</v>
      </c>
      <c r="P306" s="29">
        <f t="shared" si="112"/>
        <v>687.10721485390798</v>
      </c>
      <c r="Q306" s="29">
        <f t="shared" si="112"/>
        <v>572.78372682306156</v>
      </c>
      <c r="R306" s="29">
        <f t="shared" si="112"/>
        <v>569.03879192796012</v>
      </c>
      <c r="S306" s="29">
        <f t="shared" si="112"/>
        <v>569.03879192796012</v>
      </c>
      <c r="T306" s="29">
        <f t="shared" si="112"/>
        <v>733.18459729179483</v>
      </c>
      <c r="U306" s="29">
        <f t="shared" si="112"/>
        <v>0</v>
      </c>
      <c r="V306" s="29">
        <f t="shared" si="112"/>
        <v>0</v>
      </c>
      <c r="W306" s="29">
        <f t="shared" si="112"/>
        <v>0</v>
      </c>
      <c r="X306" s="29">
        <f t="shared" si="112"/>
        <v>0</v>
      </c>
      <c r="Y306" s="29">
        <f t="shared" si="112"/>
        <v>0</v>
      </c>
      <c r="Z306" s="29">
        <f t="shared" si="112"/>
        <v>0</v>
      </c>
      <c r="AA306" s="29">
        <f t="shared" si="112"/>
        <v>0</v>
      </c>
      <c r="AB306" s="29">
        <f t="shared" si="112"/>
        <v>0</v>
      </c>
      <c r="AC306" s="29">
        <f t="shared" si="112"/>
        <v>0</v>
      </c>
      <c r="AD306" s="29">
        <f t="shared" si="112"/>
        <v>0</v>
      </c>
    </row>
    <row r="307" spans="1:30" outlineLevel="1">
      <c r="A307" s="50" t="s">
        <v>9</v>
      </c>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row>
    <row r="308" spans="1:30" outlineLevel="1">
      <c r="A308" s="134" t="s">
        <v>549</v>
      </c>
      <c r="C308" s="38"/>
    </row>
    <row r="309" spans="1:30" ht="14.4" customHeight="1" outlineLevel="1" thickBot="1">
      <c r="A309" s="214" t="s">
        <v>9</v>
      </c>
      <c r="B309" s="214" t="s">
        <v>10</v>
      </c>
      <c r="C309" s="57"/>
      <c r="D309" s="219">
        <v>30</v>
      </c>
      <c r="E309" s="219">
        <f t="shared" ref="E309:AD309" si="113">D309</f>
        <v>30</v>
      </c>
      <c r="F309" s="219">
        <f t="shared" si="113"/>
        <v>30</v>
      </c>
      <c r="G309" s="219">
        <f t="shared" si="113"/>
        <v>30</v>
      </c>
      <c r="H309" s="219">
        <f t="shared" si="113"/>
        <v>30</v>
      </c>
      <c r="I309" s="219">
        <f t="shared" si="113"/>
        <v>30</v>
      </c>
      <c r="J309" s="219">
        <f t="shared" si="113"/>
        <v>30</v>
      </c>
      <c r="K309" s="219">
        <f t="shared" si="113"/>
        <v>30</v>
      </c>
      <c r="L309" s="219">
        <f t="shared" si="113"/>
        <v>30</v>
      </c>
      <c r="M309" s="219">
        <f t="shared" si="113"/>
        <v>30</v>
      </c>
      <c r="N309" s="219">
        <f t="shared" si="113"/>
        <v>30</v>
      </c>
      <c r="O309" s="219">
        <f t="shared" si="113"/>
        <v>30</v>
      </c>
      <c r="P309" s="219">
        <f t="shared" si="113"/>
        <v>30</v>
      </c>
      <c r="Q309" s="219">
        <f t="shared" si="113"/>
        <v>30</v>
      </c>
      <c r="R309" s="219">
        <f t="shared" si="113"/>
        <v>30</v>
      </c>
      <c r="S309" s="219">
        <f t="shared" si="113"/>
        <v>30</v>
      </c>
      <c r="T309" s="219">
        <f t="shared" si="113"/>
        <v>30</v>
      </c>
      <c r="U309" s="219">
        <f t="shared" si="113"/>
        <v>30</v>
      </c>
      <c r="V309" s="219">
        <f t="shared" si="113"/>
        <v>30</v>
      </c>
      <c r="W309" s="219">
        <f t="shared" si="113"/>
        <v>30</v>
      </c>
      <c r="X309" s="219">
        <f t="shared" si="113"/>
        <v>30</v>
      </c>
      <c r="Y309" s="219">
        <f t="shared" si="113"/>
        <v>30</v>
      </c>
      <c r="Z309" s="219">
        <f t="shared" si="113"/>
        <v>30</v>
      </c>
      <c r="AA309" s="219">
        <f t="shared" si="113"/>
        <v>30</v>
      </c>
      <c r="AB309" s="219">
        <f t="shared" si="113"/>
        <v>30</v>
      </c>
      <c r="AC309" s="219">
        <f t="shared" si="113"/>
        <v>30</v>
      </c>
      <c r="AD309" s="219">
        <f t="shared" si="113"/>
        <v>30</v>
      </c>
    </row>
    <row r="310" spans="1:30" ht="13.5" outlineLevel="1" thickBot="1">
      <c r="A310" s="13" t="s">
        <v>11</v>
      </c>
      <c r="B310" s="13" t="s">
        <v>82</v>
      </c>
      <c r="C310" s="58">
        <f>AD310</f>
        <v>0</v>
      </c>
      <c r="D310" s="42">
        <f t="shared" ref="D310:AD310" si="114">IF(E306=0,0,D306*D309/365)</f>
        <v>0</v>
      </c>
      <c r="E310" s="42">
        <f t="shared" si="114"/>
        <v>0</v>
      </c>
      <c r="F310" s="42">
        <f t="shared" si="114"/>
        <v>34.689719773934378</v>
      </c>
      <c r="G310" s="42">
        <f t="shared" si="114"/>
        <v>62.594440531375582</v>
      </c>
      <c r="H310" s="42">
        <f t="shared" si="114"/>
        <v>67.161264293106811</v>
      </c>
      <c r="I310" s="42">
        <f t="shared" si="114"/>
        <v>67.161264293106811</v>
      </c>
      <c r="J310" s="42">
        <f t="shared" si="114"/>
        <v>69.526472459511425</v>
      </c>
      <c r="K310" s="42">
        <f t="shared" si="114"/>
        <v>60.321885578018865</v>
      </c>
      <c r="L310" s="42">
        <f t="shared" si="114"/>
        <v>55.152854339050542</v>
      </c>
      <c r="M310" s="42">
        <f t="shared" si="114"/>
        <v>54.323203902148705</v>
      </c>
      <c r="N310" s="42">
        <f t="shared" si="114"/>
        <v>54.323203902148705</v>
      </c>
      <c r="O310" s="42">
        <f t="shared" si="114"/>
        <v>54.323203902148705</v>
      </c>
      <c r="P310" s="42">
        <f t="shared" si="114"/>
        <v>56.474565604430794</v>
      </c>
      <c r="Q310" s="42">
        <f t="shared" si="114"/>
        <v>47.078114533402321</v>
      </c>
      <c r="R310" s="42">
        <f t="shared" si="114"/>
        <v>46.770311665311787</v>
      </c>
      <c r="S310" s="42">
        <f t="shared" si="114"/>
        <v>46.770311665311787</v>
      </c>
      <c r="T310" s="42">
        <f t="shared" si="114"/>
        <v>0</v>
      </c>
      <c r="U310" s="42">
        <f t="shared" si="114"/>
        <v>0</v>
      </c>
      <c r="V310" s="42">
        <f t="shared" si="114"/>
        <v>0</v>
      </c>
      <c r="W310" s="42">
        <f t="shared" si="114"/>
        <v>0</v>
      </c>
      <c r="X310" s="42">
        <f t="shared" si="114"/>
        <v>0</v>
      </c>
      <c r="Y310" s="42">
        <f t="shared" si="114"/>
        <v>0</v>
      </c>
      <c r="Z310" s="42">
        <f t="shared" si="114"/>
        <v>0</v>
      </c>
      <c r="AA310" s="42">
        <f t="shared" si="114"/>
        <v>0</v>
      </c>
      <c r="AB310" s="42">
        <f t="shared" si="114"/>
        <v>0</v>
      </c>
      <c r="AC310" s="42">
        <f t="shared" si="114"/>
        <v>0</v>
      </c>
      <c r="AD310" s="42">
        <f t="shared" si="114"/>
        <v>0</v>
      </c>
    </row>
    <row r="311" spans="1:30" s="25" customFormat="1" ht="37.25" customHeight="1" thickBot="1">
      <c r="A311" s="26" t="str">
        <f>"Cashstream 1: Revenue - "&amp;A3</f>
        <v>Cashstream 1: Revenue - Mid Case</v>
      </c>
      <c r="B311" s="32" t="s">
        <v>82</v>
      </c>
      <c r="C311" s="27">
        <f>SUM(D311:AD311)</f>
        <v>10182.679530681717</v>
      </c>
      <c r="D311" s="140">
        <f>D306-D310</f>
        <v>0</v>
      </c>
      <c r="E311" s="129">
        <f t="shared" ref="E311:AD311" si="115">D310+E306-E310</f>
        <v>0</v>
      </c>
      <c r="F311" s="129">
        <f t="shared" si="115"/>
        <v>387.36853747560053</v>
      </c>
      <c r="G311" s="129">
        <f t="shared" si="115"/>
        <v>733.66097237429506</v>
      </c>
      <c r="H311" s="129">
        <f t="shared" si="115"/>
        <v>812.56189180440163</v>
      </c>
      <c r="I311" s="129">
        <f t="shared" si="115"/>
        <v>817.12871556613288</v>
      </c>
      <c r="J311" s="129">
        <f t="shared" si="115"/>
        <v>843.54020675765105</v>
      </c>
      <c r="K311" s="129">
        <f t="shared" si="115"/>
        <v>743.12086141405541</v>
      </c>
      <c r="L311" s="129">
        <f t="shared" si="115"/>
        <v>676.19542569741645</v>
      </c>
      <c r="M311" s="129">
        <f t="shared" si="115"/>
        <v>661.76196457971105</v>
      </c>
      <c r="N311" s="129">
        <f t="shared" si="115"/>
        <v>660.93231414280922</v>
      </c>
      <c r="O311" s="129">
        <f t="shared" si="115"/>
        <v>660.93231414280922</v>
      </c>
      <c r="P311" s="129">
        <f t="shared" si="115"/>
        <v>684.95585315162589</v>
      </c>
      <c r="Q311" s="129">
        <f t="shared" si="115"/>
        <v>582.18017789409009</v>
      </c>
      <c r="R311" s="129">
        <f t="shared" si="115"/>
        <v>569.34659479605068</v>
      </c>
      <c r="S311" s="129">
        <f t="shared" si="115"/>
        <v>569.03879192796012</v>
      </c>
      <c r="T311" s="129">
        <f t="shared" si="115"/>
        <v>779.95490895710657</v>
      </c>
      <c r="U311" s="129">
        <f t="shared" si="115"/>
        <v>0</v>
      </c>
      <c r="V311" s="129">
        <f t="shared" si="115"/>
        <v>0</v>
      </c>
      <c r="W311" s="129">
        <f t="shared" si="115"/>
        <v>0</v>
      </c>
      <c r="X311" s="129">
        <f t="shared" si="115"/>
        <v>0</v>
      </c>
      <c r="Y311" s="129">
        <f t="shared" si="115"/>
        <v>0</v>
      </c>
      <c r="Z311" s="129">
        <f t="shared" si="115"/>
        <v>0</v>
      </c>
      <c r="AA311" s="129">
        <f t="shared" si="115"/>
        <v>0</v>
      </c>
      <c r="AB311" s="129">
        <f t="shared" si="115"/>
        <v>0</v>
      </c>
      <c r="AC311" s="129">
        <f t="shared" si="115"/>
        <v>0</v>
      </c>
      <c r="AD311" s="129">
        <f t="shared" si="115"/>
        <v>0</v>
      </c>
    </row>
    <row r="312" spans="1:30" s="14" customFormat="1" ht="40.5" customHeight="1">
      <c r="A312" s="50" t="s">
        <v>215</v>
      </c>
      <c r="B312" s="13"/>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c r="AA312" s="44"/>
      <c r="AB312" s="44"/>
      <c r="AC312" s="44"/>
      <c r="AD312" s="44"/>
    </row>
    <row r="313" spans="1:30">
      <c r="A313" s="13" t="s">
        <v>164</v>
      </c>
      <c r="B313" s="13" t="s">
        <v>82</v>
      </c>
      <c r="C313" s="44">
        <f>SUM(D313:AD313)</f>
        <v>7727.1652215979111</v>
      </c>
      <c r="D313" s="42">
        <f t="shared" ref="D313:AD313" si="116">D282*D$192/1000</f>
        <v>0</v>
      </c>
      <c r="E313" s="42">
        <f t="shared" si="116"/>
        <v>0</v>
      </c>
      <c r="F313" s="42">
        <f t="shared" si="116"/>
        <v>287.0829829147886</v>
      </c>
      <c r="G313" s="42">
        <f t="shared" si="116"/>
        <v>512.46032115797004</v>
      </c>
      <c r="H313" s="42">
        <f t="shared" si="116"/>
        <v>547.05594489188763</v>
      </c>
      <c r="I313" s="42">
        <f t="shared" si="116"/>
        <v>547.05594489188763</v>
      </c>
      <c r="J313" s="42">
        <f t="shared" si="116"/>
        <v>566.62978463607772</v>
      </c>
      <c r="K313" s="42">
        <f t="shared" si="116"/>
        <v>520.1608821426031</v>
      </c>
      <c r="L313" s="42">
        <f t="shared" si="116"/>
        <v>517.00816204599369</v>
      </c>
      <c r="M313" s="42">
        <f t="shared" si="116"/>
        <v>518.56344776210187</v>
      </c>
      <c r="N313" s="42">
        <f t="shared" si="116"/>
        <v>518.56344776210187</v>
      </c>
      <c r="O313" s="42">
        <f t="shared" si="116"/>
        <v>518.56344776210187</v>
      </c>
      <c r="P313" s="42">
        <f t="shared" si="116"/>
        <v>520.1946010741176</v>
      </c>
      <c r="Q313" s="42">
        <f t="shared" si="116"/>
        <v>504.76818990621581</v>
      </c>
      <c r="R313" s="42">
        <f t="shared" si="116"/>
        <v>501.46794948423025</v>
      </c>
      <c r="S313" s="42">
        <f t="shared" si="116"/>
        <v>501.46794948423025</v>
      </c>
      <c r="T313" s="42">
        <f t="shared" si="116"/>
        <v>646.12216568160443</v>
      </c>
      <c r="U313" s="42">
        <f t="shared" si="116"/>
        <v>0</v>
      </c>
      <c r="V313" s="42">
        <f t="shared" si="116"/>
        <v>0</v>
      </c>
      <c r="W313" s="42">
        <f t="shared" si="116"/>
        <v>0</v>
      </c>
      <c r="X313" s="42">
        <f t="shared" si="116"/>
        <v>0</v>
      </c>
      <c r="Y313" s="42">
        <f t="shared" si="116"/>
        <v>0</v>
      </c>
      <c r="Z313" s="42">
        <f t="shared" si="116"/>
        <v>0</v>
      </c>
      <c r="AA313" s="42">
        <f t="shared" si="116"/>
        <v>0</v>
      </c>
      <c r="AB313" s="42">
        <f t="shared" si="116"/>
        <v>0</v>
      </c>
      <c r="AC313" s="42">
        <f t="shared" si="116"/>
        <v>0</v>
      </c>
      <c r="AD313" s="42">
        <f t="shared" si="116"/>
        <v>0</v>
      </c>
    </row>
    <row r="314" spans="1:30">
      <c r="A314" s="49" t="s">
        <v>265</v>
      </c>
      <c r="C314" s="44"/>
      <c r="D314" s="42"/>
      <c r="E314" s="42"/>
      <c r="F314" s="42"/>
      <c r="G314" s="42"/>
      <c r="H314" s="42"/>
      <c r="I314" s="42"/>
      <c r="J314" s="42"/>
      <c r="K314" s="42"/>
      <c r="L314" s="42"/>
      <c r="M314" s="42"/>
      <c r="N314" s="42"/>
      <c r="O314" s="42"/>
      <c r="P314" s="42"/>
      <c r="Q314" s="42"/>
      <c r="R314" s="42"/>
      <c r="S314" s="42"/>
      <c r="T314" s="42"/>
      <c r="U314" s="42"/>
      <c r="V314" s="42"/>
      <c r="W314" s="42"/>
      <c r="X314" s="42"/>
      <c r="Y314" s="42"/>
      <c r="Z314" s="42"/>
      <c r="AA314" s="42"/>
      <c r="AB314" s="42"/>
      <c r="AC314" s="42"/>
      <c r="AD314" s="42"/>
    </row>
    <row r="315" spans="1:30">
      <c r="A315" s="13" t="s">
        <v>434</v>
      </c>
      <c r="B315" s="13" t="s">
        <v>82</v>
      </c>
      <c r="C315" s="44">
        <f>SUM(D315:AD315)</f>
        <v>1104.0399914123841</v>
      </c>
      <c r="D315" s="42">
        <f t="shared" ref="D315:AD315" si="117">D283*D$192/1000</f>
        <v>0</v>
      </c>
      <c r="E315" s="42">
        <f t="shared" si="117"/>
        <v>0</v>
      </c>
      <c r="F315" s="42">
        <f t="shared" si="117"/>
        <v>43.339631809014634</v>
      </c>
      <c r="G315" s="42">
        <f t="shared" si="117"/>
        <v>77.363838881066968</v>
      </c>
      <c r="H315" s="42">
        <f t="shared" si="117"/>
        <v>82.586585209003204</v>
      </c>
      <c r="I315" s="42">
        <f t="shared" si="117"/>
        <v>82.586585209003204</v>
      </c>
      <c r="J315" s="42">
        <f t="shared" si="117"/>
        <v>85.541560105072392</v>
      </c>
      <c r="K315" s="42">
        <f t="shared" si="117"/>
        <v>76.01167235568596</v>
      </c>
      <c r="L315" s="42">
        <f t="shared" si="117"/>
        <v>72.982197860975276</v>
      </c>
      <c r="M315" s="42">
        <f t="shared" si="117"/>
        <v>73.201745980707386</v>
      </c>
      <c r="N315" s="42">
        <f t="shared" si="117"/>
        <v>73.201745980707386</v>
      </c>
      <c r="O315" s="42">
        <f t="shared" si="117"/>
        <v>73.201745980707386</v>
      </c>
      <c r="P315" s="42">
        <f t="shared" si="117"/>
        <v>73.803028625944165</v>
      </c>
      <c r="Q315" s="42">
        <f t="shared" si="117"/>
        <v>68.015536916845832</v>
      </c>
      <c r="R315" s="42">
        <f t="shared" si="117"/>
        <v>67.570842443729902</v>
      </c>
      <c r="S315" s="42">
        <f t="shared" si="117"/>
        <v>67.570842443729902</v>
      </c>
      <c r="T315" s="42">
        <f t="shared" si="117"/>
        <v>87.062431610190472</v>
      </c>
      <c r="U315" s="42">
        <f t="shared" si="117"/>
        <v>0</v>
      </c>
      <c r="V315" s="42">
        <f t="shared" si="117"/>
        <v>0</v>
      </c>
      <c r="W315" s="42">
        <f t="shared" si="117"/>
        <v>0</v>
      </c>
      <c r="X315" s="42">
        <f t="shared" si="117"/>
        <v>0</v>
      </c>
      <c r="Y315" s="42">
        <f t="shared" si="117"/>
        <v>0</v>
      </c>
      <c r="Z315" s="42">
        <f t="shared" si="117"/>
        <v>0</v>
      </c>
      <c r="AA315" s="42">
        <f t="shared" si="117"/>
        <v>0</v>
      </c>
      <c r="AB315" s="42">
        <f t="shared" si="117"/>
        <v>0</v>
      </c>
      <c r="AC315" s="42">
        <f t="shared" si="117"/>
        <v>0</v>
      </c>
      <c r="AD315" s="42">
        <f t="shared" si="117"/>
        <v>0</v>
      </c>
    </row>
    <row r="316" spans="1:30">
      <c r="A316" s="13" t="s">
        <v>435</v>
      </c>
      <c r="B316" s="13" t="s">
        <v>82</v>
      </c>
      <c r="C316" s="44">
        <f>SUM(D316:AD316)</f>
        <v>14.243323271420323</v>
      </c>
      <c r="D316" s="42">
        <f t="shared" ref="D316:AD316" si="118">D284*D$192/1000</f>
        <v>0</v>
      </c>
      <c r="E316" s="42">
        <f t="shared" si="118"/>
        <v>0</v>
      </c>
      <c r="F316" s="42">
        <f t="shared" si="118"/>
        <v>1.5956041351992141</v>
      </c>
      <c r="G316" s="42">
        <f t="shared" si="118"/>
        <v>2.8482489601547627</v>
      </c>
      <c r="H316" s="42">
        <f t="shared" si="118"/>
        <v>3.0405310652421944</v>
      </c>
      <c r="I316" s="42">
        <f t="shared" si="118"/>
        <v>3.0405310652421944</v>
      </c>
      <c r="J316" s="42">
        <f t="shared" si="118"/>
        <v>3.1493222562785057</v>
      </c>
      <c r="K316" s="42">
        <f t="shared" si="118"/>
        <v>0.56908578930345055</v>
      </c>
      <c r="L316" s="42">
        <f t="shared" si="118"/>
        <v>0</v>
      </c>
      <c r="M316" s="42">
        <f t="shared" si="118"/>
        <v>0</v>
      </c>
      <c r="N316" s="42">
        <f t="shared" si="118"/>
        <v>0</v>
      </c>
      <c r="O316" s="42">
        <f t="shared" si="118"/>
        <v>0</v>
      </c>
      <c r="P316" s="42">
        <f t="shared" si="118"/>
        <v>0</v>
      </c>
      <c r="Q316" s="42">
        <f t="shared" si="118"/>
        <v>0</v>
      </c>
      <c r="R316" s="42">
        <f t="shared" si="118"/>
        <v>0</v>
      </c>
      <c r="S316" s="42">
        <f t="shared" si="118"/>
        <v>0</v>
      </c>
      <c r="T316" s="42">
        <f t="shared" si="118"/>
        <v>0</v>
      </c>
      <c r="U316" s="42">
        <f t="shared" si="118"/>
        <v>0</v>
      </c>
      <c r="V316" s="42">
        <f t="shared" si="118"/>
        <v>0</v>
      </c>
      <c r="W316" s="42">
        <f t="shared" si="118"/>
        <v>0</v>
      </c>
      <c r="X316" s="42">
        <f t="shared" si="118"/>
        <v>0</v>
      </c>
      <c r="Y316" s="42">
        <f t="shared" si="118"/>
        <v>0</v>
      </c>
      <c r="Z316" s="42">
        <f t="shared" si="118"/>
        <v>0</v>
      </c>
      <c r="AA316" s="42">
        <f t="shared" si="118"/>
        <v>0</v>
      </c>
      <c r="AB316" s="42">
        <f t="shared" si="118"/>
        <v>0</v>
      </c>
      <c r="AC316" s="42">
        <f t="shared" si="118"/>
        <v>0</v>
      </c>
      <c r="AD316" s="42">
        <f t="shared" si="118"/>
        <v>0</v>
      </c>
    </row>
    <row r="317" spans="1:30">
      <c r="A317" s="13" t="s">
        <v>264</v>
      </c>
      <c r="B317" s="13" t="s">
        <v>82</v>
      </c>
      <c r="C317" s="44">
        <f>SUM(D317:AD317)</f>
        <v>1337.2309943999996</v>
      </c>
      <c r="D317" s="42">
        <f t="shared" ref="D317:AD317" si="119">D303</f>
        <v>0</v>
      </c>
      <c r="E317" s="42">
        <f t="shared" si="119"/>
        <v>0</v>
      </c>
      <c r="F317" s="42">
        <f t="shared" si="119"/>
        <v>90.040038390532516</v>
      </c>
      <c r="G317" s="42">
        <f t="shared" si="119"/>
        <v>168.89328413254435</v>
      </c>
      <c r="H317" s="42">
        <f t="shared" si="119"/>
        <v>184.44565439999997</v>
      </c>
      <c r="I317" s="42">
        <f t="shared" si="119"/>
        <v>184.44565439999997</v>
      </c>
      <c r="J317" s="42">
        <f t="shared" si="119"/>
        <v>190.58474792662719</v>
      </c>
      <c r="K317" s="42">
        <f t="shared" si="119"/>
        <v>137.17463424497041</v>
      </c>
      <c r="L317" s="42">
        <f t="shared" si="119"/>
        <v>81.036034551479275</v>
      </c>
      <c r="M317" s="42">
        <f t="shared" si="119"/>
        <v>69.167120400000002</v>
      </c>
      <c r="N317" s="42">
        <f t="shared" si="119"/>
        <v>69.167120400000002</v>
      </c>
      <c r="O317" s="42">
        <f t="shared" si="119"/>
        <v>69.167120400000002</v>
      </c>
      <c r="P317" s="42">
        <f t="shared" si="119"/>
        <v>93.109585153846155</v>
      </c>
      <c r="Q317" s="42">
        <f t="shared" si="119"/>
        <v>0</v>
      </c>
      <c r="R317" s="42">
        <f t="shared" si="119"/>
        <v>0</v>
      </c>
      <c r="S317" s="42">
        <f t="shared" si="119"/>
        <v>0</v>
      </c>
      <c r="T317" s="42">
        <f t="shared" si="119"/>
        <v>0</v>
      </c>
      <c r="U317" s="42">
        <f t="shared" si="119"/>
        <v>0</v>
      </c>
      <c r="V317" s="42">
        <f t="shared" si="119"/>
        <v>0</v>
      </c>
      <c r="W317" s="42">
        <f t="shared" si="119"/>
        <v>0</v>
      </c>
      <c r="X317" s="42">
        <f t="shared" si="119"/>
        <v>0</v>
      </c>
      <c r="Y317" s="42">
        <f t="shared" si="119"/>
        <v>0</v>
      </c>
      <c r="Z317" s="42">
        <f t="shared" si="119"/>
        <v>0</v>
      </c>
      <c r="AA317" s="42">
        <f t="shared" si="119"/>
        <v>0</v>
      </c>
      <c r="AB317" s="42">
        <f t="shared" si="119"/>
        <v>0</v>
      </c>
      <c r="AC317" s="42">
        <f t="shared" si="119"/>
        <v>0</v>
      </c>
      <c r="AD317" s="42">
        <f t="shared" si="119"/>
        <v>0</v>
      </c>
    </row>
    <row r="318" spans="1:30">
      <c r="A318" s="13" t="s">
        <v>159</v>
      </c>
      <c r="B318" s="13" t="s">
        <v>82</v>
      </c>
      <c r="C318" s="44">
        <f>SUM(D318:AD318)</f>
        <v>2455.5143090838042</v>
      </c>
      <c r="D318" s="70">
        <f t="shared" ref="D318:AD318" si="120">SUM(D315:D317)</f>
        <v>0</v>
      </c>
      <c r="E318" s="70">
        <f t="shared" si="120"/>
        <v>0</v>
      </c>
      <c r="F318" s="70">
        <f t="shared" si="120"/>
        <v>134.97527433474636</v>
      </c>
      <c r="G318" s="70">
        <f t="shared" si="120"/>
        <v>249.10537197376607</v>
      </c>
      <c r="H318" s="70">
        <f t="shared" si="120"/>
        <v>270.07277067424536</v>
      </c>
      <c r="I318" s="70">
        <f t="shared" si="120"/>
        <v>270.07277067424536</v>
      </c>
      <c r="J318" s="70">
        <f t="shared" si="120"/>
        <v>279.27563028797806</v>
      </c>
      <c r="K318" s="70">
        <f t="shared" si="120"/>
        <v>213.75539238995981</v>
      </c>
      <c r="L318" s="70">
        <f t="shared" si="120"/>
        <v>154.01823241245455</v>
      </c>
      <c r="M318" s="70">
        <f t="shared" si="120"/>
        <v>142.3688663807074</v>
      </c>
      <c r="N318" s="70">
        <f t="shared" si="120"/>
        <v>142.3688663807074</v>
      </c>
      <c r="O318" s="70">
        <f t="shared" si="120"/>
        <v>142.3688663807074</v>
      </c>
      <c r="P318" s="70">
        <f t="shared" si="120"/>
        <v>166.91261377979032</v>
      </c>
      <c r="Q318" s="70">
        <f t="shared" si="120"/>
        <v>68.015536916845832</v>
      </c>
      <c r="R318" s="70">
        <f t="shared" si="120"/>
        <v>67.570842443729902</v>
      </c>
      <c r="S318" s="70">
        <f t="shared" si="120"/>
        <v>67.570842443729902</v>
      </c>
      <c r="T318" s="70">
        <f t="shared" si="120"/>
        <v>87.062431610190472</v>
      </c>
      <c r="U318" s="70">
        <f t="shared" si="120"/>
        <v>0</v>
      </c>
      <c r="V318" s="70">
        <f t="shared" si="120"/>
        <v>0</v>
      </c>
      <c r="W318" s="70">
        <f t="shared" si="120"/>
        <v>0</v>
      </c>
      <c r="X318" s="70">
        <f t="shared" si="120"/>
        <v>0</v>
      </c>
      <c r="Y318" s="70">
        <f t="shared" si="120"/>
        <v>0</v>
      </c>
      <c r="Z318" s="70">
        <f t="shared" si="120"/>
        <v>0</v>
      </c>
      <c r="AA318" s="70">
        <f t="shared" si="120"/>
        <v>0</v>
      </c>
      <c r="AB318" s="70">
        <f t="shared" si="120"/>
        <v>0</v>
      </c>
      <c r="AC318" s="70">
        <f t="shared" si="120"/>
        <v>0</v>
      </c>
      <c r="AD318" s="70">
        <f t="shared" si="120"/>
        <v>0</v>
      </c>
    </row>
    <row r="319" spans="1:30" ht="51" customHeight="1">
      <c r="A319" s="23" t="s">
        <v>397</v>
      </c>
      <c r="C319" s="42"/>
      <c r="D319" s="42"/>
      <c r="E319" s="42"/>
      <c r="F319" s="42"/>
      <c r="G319" s="42"/>
      <c r="H319" s="42"/>
      <c r="I319" s="42"/>
      <c r="J319" s="42"/>
      <c r="K319" s="42"/>
      <c r="L319" s="42"/>
      <c r="M319" s="42"/>
      <c r="N319" s="42"/>
      <c r="O319" s="42"/>
      <c r="P319" s="42"/>
      <c r="Q319" s="42"/>
      <c r="R319" s="42"/>
      <c r="S319" s="42"/>
      <c r="T319" s="42"/>
      <c r="U319" s="42"/>
      <c r="V319" s="42"/>
      <c r="W319" s="42"/>
      <c r="X319" s="42"/>
      <c r="Y319" s="42"/>
      <c r="Z319" s="42"/>
      <c r="AA319" s="42"/>
      <c r="AB319" s="42"/>
      <c r="AC319" s="42"/>
      <c r="AD319" s="42"/>
    </row>
    <row r="320" spans="1:30" outlineLevel="1">
      <c r="A320" s="144" t="str">
        <f>A$98</f>
        <v>Forex: A$ = US$  - mid case</v>
      </c>
      <c r="B320" s="142" t="str">
        <f>B$98</f>
        <v>A$1.00 = US$ ....</v>
      </c>
      <c r="C320" s="57"/>
      <c r="D320" s="57">
        <f t="shared" ref="D320:AD320" si="121">D$98</f>
        <v>0.65</v>
      </c>
      <c r="E320" s="57">
        <f t="shared" si="121"/>
        <v>0.65</v>
      </c>
      <c r="F320" s="57">
        <f t="shared" si="121"/>
        <v>0.65</v>
      </c>
      <c r="G320" s="57">
        <f t="shared" si="121"/>
        <v>0.65</v>
      </c>
      <c r="H320" s="57">
        <f t="shared" si="121"/>
        <v>0.65</v>
      </c>
      <c r="I320" s="57">
        <f t="shared" si="121"/>
        <v>0.65</v>
      </c>
      <c r="J320" s="57">
        <f t="shared" si="121"/>
        <v>0.65</v>
      </c>
      <c r="K320" s="57">
        <f t="shared" si="121"/>
        <v>0.65</v>
      </c>
      <c r="L320" s="57">
        <f t="shared" si="121"/>
        <v>0.65</v>
      </c>
      <c r="M320" s="57">
        <f t="shared" si="121"/>
        <v>0.65</v>
      </c>
      <c r="N320" s="57">
        <f t="shared" si="121"/>
        <v>0.65</v>
      </c>
      <c r="O320" s="57">
        <f t="shared" si="121"/>
        <v>0.65</v>
      </c>
      <c r="P320" s="57">
        <f t="shared" si="121"/>
        <v>0.65</v>
      </c>
      <c r="Q320" s="57">
        <f t="shared" si="121"/>
        <v>0.65</v>
      </c>
      <c r="R320" s="57">
        <f t="shared" si="121"/>
        <v>0.65</v>
      </c>
      <c r="S320" s="57">
        <f t="shared" si="121"/>
        <v>0.65</v>
      </c>
      <c r="T320" s="57">
        <f t="shared" si="121"/>
        <v>0.65</v>
      </c>
      <c r="U320" s="57">
        <f t="shared" si="121"/>
        <v>0.65</v>
      </c>
      <c r="V320" s="57">
        <f t="shared" si="121"/>
        <v>0.65</v>
      </c>
      <c r="W320" s="57">
        <f t="shared" si="121"/>
        <v>0.65</v>
      </c>
      <c r="X320" s="57">
        <f t="shared" si="121"/>
        <v>0.65</v>
      </c>
      <c r="Y320" s="57">
        <f t="shared" si="121"/>
        <v>0.65</v>
      </c>
      <c r="Z320" s="57">
        <f t="shared" si="121"/>
        <v>0.65</v>
      </c>
      <c r="AA320" s="57">
        <f t="shared" si="121"/>
        <v>0.65</v>
      </c>
      <c r="AB320" s="57">
        <f t="shared" si="121"/>
        <v>0.65</v>
      </c>
      <c r="AC320" s="57">
        <f t="shared" si="121"/>
        <v>0.65</v>
      </c>
      <c r="AD320" s="57">
        <f t="shared" si="121"/>
        <v>0.65</v>
      </c>
    </row>
    <row r="321" spans="1:30" outlineLevel="1">
      <c r="A321" s="143" t="str">
        <f>"Revenue in A$ - "&amp;A3</f>
        <v>Revenue in A$ - Mid Case</v>
      </c>
      <c r="B321" s="13" t="s">
        <v>285</v>
      </c>
      <c r="C321" s="42">
        <f>SUM(D321:AD321)</f>
        <v>15665.660816433407</v>
      </c>
      <c r="D321" s="42">
        <f t="shared" ref="D321:AD321" si="122">D306/D320</f>
        <v>0</v>
      </c>
      <c r="E321" s="42">
        <f t="shared" si="122"/>
        <v>0</v>
      </c>
      <c r="F321" s="42">
        <f t="shared" si="122"/>
        <v>649.32039576851525</v>
      </c>
      <c r="G321" s="42">
        <f t="shared" si="122"/>
        <v>1171.6395278949788</v>
      </c>
      <c r="H321" s="42">
        <f t="shared" si="122"/>
        <v>1257.1211008709736</v>
      </c>
      <c r="I321" s="42">
        <f t="shared" si="122"/>
        <v>1257.1211008709736</v>
      </c>
      <c r="J321" s="42">
        <f t="shared" si="122"/>
        <v>1301.3929460370086</v>
      </c>
      <c r="K321" s="42">
        <f t="shared" si="122"/>
        <v>1129.1019608193274</v>
      </c>
      <c r="L321" s="42">
        <f t="shared" si="122"/>
        <v>1032.3482991668434</v>
      </c>
      <c r="M321" s="42">
        <f t="shared" si="122"/>
        <v>1016.8189448350911</v>
      </c>
      <c r="N321" s="42">
        <f t="shared" si="122"/>
        <v>1016.8189448350911</v>
      </c>
      <c r="O321" s="42">
        <f t="shared" si="122"/>
        <v>1016.8189448350911</v>
      </c>
      <c r="P321" s="42">
        <f t="shared" si="122"/>
        <v>1057.088022852166</v>
      </c>
      <c r="Q321" s="42">
        <f t="shared" si="122"/>
        <v>881.20573357394085</v>
      </c>
      <c r="R321" s="42">
        <f t="shared" si="122"/>
        <v>875.44429527378475</v>
      </c>
      <c r="S321" s="42">
        <f t="shared" si="122"/>
        <v>875.44429527378475</v>
      </c>
      <c r="T321" s="42">
        <f t="shared" si="122"/>
        <v>1127.9763035258381</v>
      </c>
      <c r="U321" s="42">
        <f t="shared" si="122"/>
        <v>0</v>
      </c>
      <c r="V321" s="42">
        <f t="shared" si="122"/>
        <v>0</v>
      </c>
      <c r="W321" s="42">
        <f t="shared" si="122"/>
        <v>0</v>
      </c>
      <c r="X321" s="42">
        <f t="shared" si="122"/>
        <v>0</v>
      </c>
      <c r="Y321" s="42">
        <f t="shared" si="122"/>
        <v>0</v>
      </c>
      <c r="Z321" s="42">
        <f t="shared" si="122"/>
        <v>0</v>
      </c>
      <c r="AA321" s="42">
        <f t="shared" si="122"/>
        <v>0</v>
      </c>
      <c r="AB321" s="42">
        <f t="shared" si="122"/>
        <v>0</v>
      </c>
      <c r="AC321" s="42">
        <f t="shared" si="122"/>
        <v>0</v>
      </c>
      <c r="AD321" s="42">
        <f t="shared" si="122"/>
        <v>0</v>
      </c>
    </row>
    <row r="322" spans="1:30" outlineLevel="1">
      <c r="A322" s="69" t="s">
        <v>396</v>
      </c>
      <c r="C322" s="42"/>
      <c r="D322" s="42"/>
      <c r="E322" s="42"/>
      <c r="F322" s="42"/>
      <c r="G322" s="42"/>
      <c r="H322" s="42"/>
      <c r="I322" s="42"/>
      <c r="J322" s="42"/>
      <c r="K322" s="42"/>
      <c r="L322" s="42"/>
      <c r="M322" s="42"/>
      <c r="N322" s="42"/>
      <c r="O322" s="42"/>
      <c r="P322" s="42"/>
      <c r="Q322" s="42"/>
      <c r="R322" s="42"/>
      <c r="S322" s="42"/>
      <c r="T322" s="42"/>
      <c r="U322" s="42"/>
      <c r="V322" s="42"/>
      <c r="W322" s="42"/>
      <c r="X322" s="42"/>
      <c r="Y322" s="42"/>
      <c r="Z322" s="42"/>
      <c r="AA322" s="42"/>
      <c r="AB322" s="42"/>
      <c r="AC322" s="42"/>
      <c r="AD322" s="42"/>
    </row>
    <row r="323" spans="1:30" outlineLevel="1">
      <c r="A323" s="143" t="s">
        <v>392</v>
      </c>
      <c r="B323" s="13" t="s">
        <v>285</v>
      </c>
      <c r="C323" s="42">
        <f>SUM(D323:AD323)</f>
        <v>11887.946494766022</v>
      </c>
      <c r="D323" s="42">
        <f t="shared" ref="D323:AD323" si="123">D313/D320</f>
        <v>0</v>
      </c>
      <c r="E323" s="42">
        <f t="shared" si="123"/>
        <v>0</v>
      </c>
      <c r="F323" s="42">
        <f t="shared" si="123"/>
        <v>441.66612756121322</v>
      </c>
      <c r="G323" s="42">
        <f t="shared" si="123"/>
        <v>788.40049408918469</v>
      </c>
      <c r="H323" s="42">
        <f t="shared" si="123"/>
        <v>841.62453060290397</v>
      </c>
      <c r="I323" s="42">
        <f t="shared" si="123"/>
        <v>841.62453060290397</v>
      </c>
      <c r="J323" s="42">
        <f t="shared" si="123"/>
        <v>871.73813020935029</v>
      </c>
      <c r="K323" s="42">
        <f t="shared" si="123"/>
        <v>800.24751098862009</v>
      </c>
      <c r="L323" s="42">
        <f t="shared" si="123"/>
        <v>795.39717237845184</v>
      </c>
      <c r="M323" s="42">
        <f t="shared" si="123"/>
        <v>797.7899196340029</v>
      </c>
      <c r="N323" s="42">
        <f t="shared" si="123"/>
        <v>797.7899196340029</v>
      </c>
      <c r="O323" s="42">
        <f t="shared" si="123"/>
        <v>797.7899196340029</v>
      </c>
      <c r="P323" s="42">
        <f t="shared" si="123"/>
        <v>800.29938626787316</v>
      </c>
      <c r="Q323" s="42">
        <f t="shared" si="123"/>
        <v>776.56644600956281</v>
      </c>
      <c r="R323" s="42">
        <f t="shared" si="123"/>
        <v>771.48915305266189</v>
      </c>
      <c r="S323" s="42">
        <f t="shared" si="123"/>
        <v>771.48915305266189</v>
      </c>
      <c r="T323" s="42">
        <f t="shared" si="123"/>
        <v>994.03410104862212</v>
      </c>
      <c r="U323" s="42">
        <f t="shared" si="123"/>
        <v>0</v>
      </c>
      <c r="V323" s="42">
        <f t="shared" si="123"/>
        <v>0</v>
      </c>
      <c r="W323" s="42">
        <f t="shared" si="123"/>
        <v>0</v>
      </c>
      <c r="X323" s="42">
        <f t="shared" si="123"/>
        <v>0</v>
      </c>
      <c r="Y323" s="42">
        <f t="shared" si="123"/>
        <v>0</v>
      </c>
      <c r="Z323" s="42">
        <f t="shared" si="123"/>
        <v>0</v>
      </c>
      <c r="AA323" s="42">
        <f t="shared" si="123"/>
        <v>0</v>
      </c>
      <c r="AB323" s="42">
        <f t="shared" si="123"/>
        <v>0</v>
      </c>
      <c r="AC323" s="42">
        <f t="shared" si="123"/>
        <v>0</v>
      </c>
      <c r="AD323" s="42">
        <f t="shared" si="123"/>
        <v>0</v>
      </c>
    </row>
    <row r="324" spans="1:30" outlineLevel="1">
      <c r="A324" s="143" t="s">
        <v>393</v>
      </c>
      <c r="B324" s="13" t="s">
        <v>285</v>
      </c>
      <c r="C324" s="42">
        <f t="shared" ref="C324:C326" si="124">SUM(D324:AD324)</f>
        <v>1698.5230637113602</v>
      </c>
      <c r="D324" s="42">
        <f t="shared" ref="D324:AD324" si="125">D315/D320</f>
        <v>0</v>
      </c>
      <c r="E324" s="42">
        <f t="shared" si="125"/>
        <v>0</v>
      </c>
      <c r="F324" s="42">
        <f t="shared" si="125"/>
        <v>66.676356629253277</v>
      </c>
      <c r="G324" s="42">
        <f t="shared" si="125"/>
        <v>119.02129058625687</v>
      </c>
      <c r="H324" s="42">
        <f t="shared" si="125"/>
        <v>127.05628493692799</v>
      </c>
      <c r="I324" s="42">
        <f t="shared" si="125"/>
        <v>127.05628493692799</v>
      </c>
      <c r="J324" s="42">
        <f t="shared" si="125"/>
        <v>131.60240016164983</v>
      </c>
      <c r="K324" s="42">
        <f t="shared" si="125"/>
        <v>116.94103439336301</v>
      </c>
      <c r="L324" s="42">
        <f t="shared" si="125"/>
        <v>112.28030440150042</v>
      </c>
      <c r="M324" s="42">
        <f t="shared" si="125"/>
        <v>112.61807073954982</v>
      </c>
      <c r="N324" s="42">
        <f t="shared" si="125"/>
        <v>112.61807073954982</v>
      </c>
      <c r="O324" s="42">
        <f t="shared" si="125"/>
        <v>112.61807073954982</v>
      </c>
      <c r="P324" s="42">
        <f t="shared" si="125"/>
        <v>113.54312096299103</v>
      </c>
      <c r="Q324" s="42">
        <f t="shared" si="125"/>
        <v>104.63928756437819</v>
      </c>
      <c r="R324" s="42">
        <f t="shared" si="125"/>
        <v>103.95514222112293</v>
      </c>
      <c r="S324" s="42">
        <f t="shared" si="125"/>
        <v>103.95514222112293</v>
      </c>
      <c r="T324" s="42">
        <f t="shared" si="125"/>
        <v>133.94220247721611</v>
      </c>
      <c r="U324" s="42">
        <f t="shared" si="125"/>
        <v>0</v>
      </c>
      <c r="V324" s="42">
        <f t="shared" si="125"/>
        <v>0</v>
      </c>
      <c r="W324" s="42">
        <f t="shared" si="125"/>
        <v>0</v>
      </c>
      <c r="X324" s="42">
        <f t="shared" si="125"/>
        <v>0</v>
      </c>
      <c r="Y324" s="42">
        <f t="shared" si="125"/>
        <v>0</v>
      </c>
      <c r="Z324" s="42">
        <f t="shared" si="125"/>
        <v>0</v>
      </c>
      <c r="AA324" s="42">
        <f t="shared" si="125"/>
        <v>0</v>
      </c>
      <c r="AB324" s="42">
        <f t="shared" si="125"/>
        <v>0</v>
      </c>
      <c r="AC324" s="42">
        <f t="shared" si="125"/>
        <v>0</v>
      </c>
      <c r="AD324" s="42">
        <f t="shared" si="125"/>
        <v>0</v>
      </c>
    </row>
    <row r="325" spans="1:30" outlineLevel="1">
      <c r="A325" s="143" t="s">
        <v>394</v>
      </c>
      <c r="B325" s="13" t="s">
        <v>285</v>
      </c>
      <c r="C325" s="42">
        <f t="shared" si="124"/>
        <v>21.912805032954338</v>
      </c>
      <c r="D325" s="42">
        <f t="shared" ref="D325:AD325" si="126">D316/D320</f>
        <v>0</v>
      </c>
      <c r="E325" s="42">
        <f t="shared" si="126"/>
        <v>0</v>
      </c>
      <c r="F325" s="42">
        <f t="shared" si="126"/>
        <v>2.4547755926141752</v>
      </c>
      <c r="G325" s="42">
        <f t="shared" si="126"/>
        <v>4.381921477161173</v>
      </c>
      <c r="H325" s="42">
        <f t="shared" si="126"/>
        <v>4.6777401003726062</v>
      </c>
      <c r="I325" s="42">
        <f t="shared" si="126"/>
        <v>4.6777401003726062</v>
      </c>
      <c r="J325" s="42">
        <f t="shared" si="126"/>
        <v>4.8451111635053934</v>
      </c>
      <c r="K325" s="42">
        <f t="shared" si="126"/>
        <v>0.8755165989283854</v>
      </c>
      <c r="L325" s="42">
        <f t="shared" si="126"/>
        <v>0</v>
      </c>
      <c r="M325" s="42">
        <f t="shared" si="126"/>
        <v>0</v>
      </c>
      <c r="N325" s="42">
        <f t="shared" si="126"/>
        <v>0</v>
      </c>
      <c r="O325" s="42">
        <f t="shared" si="126"/>
        <v>0</v>
      </c>
      <c r="P325" s="42">
        <f t="shared" si="126"/>
        <v>0</v>
      </c>
      <c r="Q325" s="42">
        <f t="shared" si="126"/>
        <v>0</v>
      </c>
      <c r="R325" s="42">
        <f t="shared" si="126"/>
        <v>0</v>
      </c>
      <c r="S325" s="42">
        <f t="shared" si="126"/>
        <v>0</v>
      </c>
      <c r="T325" s="42">
        <f t="shared" si="126"/>
        <v>0</v>
      </c>
      <c r="U325" s="42">
        <f t="shared" si="126"/>
        <v>0</v>
      </c>
      <c r="V325" s="42">
        <f t="shared" si="126"/>
        <v>0</v>
      </c>
      <c r="W325" s="42">
        <f t="shared" si="126"/>
        <v>0</v>
      </c>
      <c r="X325" s="42">
        <f t="shared" si="126"/>
        <v>0</v>
      </c>
      <c r="Y325" s="42">
        <f t="shared" si="126"/>
        <v>0</v>
      </c>
      <c r="Z325" s="42">
        <f t="shared" si="126"/>
        <v>0</v>
      </c>
      <c r="AA325" s="42">
        <f t="shared" si="126"/>
        <v>0</v>
      </c>
      <c r="AB325" s="42">
        <f t="shared" si="126"/>
        <v>0</v>
      </c>
      <c r="AC325" s="42">
        <f t="shared" si="126"/>
        <v>0</v>
      </c>
      <c r="AD325" s="42">
        <f t="shared" si="126"/>
        <v>0</v>
      </c>
    </row>
    <row r="326" spans="1:30" outlineLevel="1">
      <c r="A326" s="143" t="s">
        <v>395</v>
      </c>
      <c r="B326" s="13" t="s">
        <v>285</v>
      </c>
      <c r="C326" s="42">
        <f t="shared" si="124"/>
        <v>2057.2784529230762</v>
      </c>
      <c r="D326" s="42">
        <f t="shared" ref="D326:AD326" si="127">D317/D320</f>
        <v>0</v>
      </c>
      <c r="E326" s="42">
        <f t="shared" si="127"/>
        <v>0</v>
      </c>
      <c r="F326" s="42">
        <f t="shared" si="127"/>
        <v>138.52313598543464</v>
      </c>
      <c r="G326" s="42">
        <f t="shared" si="127"/>
        <v>259.83582174237591</v>
      </c>
      <c r="H326" s="42">
        <f t="shared" si="127"/>
        <v>283.76254523076915</v>
      </c>
      <c r="I326" s="42">
        <f t="shared" si="127"/>
        <v>283.76254523076915</v>
      </c>
      <c r="J326" s="42">
        <f t="shared" si="127"/>
        <v>293.20730450250335</v>
      </c>
      <c r="K326" s="42">
        <f t="shared" si="127"/>
        <v>211.037898838416</v>
      </c>
      <c r="L326" s="42">
        <f t="shared" si="127"/>
        <v>124.67082238689119</v>
      </c>
      <c r="M326" s="42">
        <f t="shared" si="127"/>
        <v>106.41095446153847</v>
      </c>
      <c r="N326" s="42">
        <f t="shared" si="127"/>
        <v>106.41095446153847</v>
      </c>
      <c r="O326" s="42">
        <f t="shared" si="127"/>
        <v>106.41095446153847</v>
      </c>
      <c r="P326" s="42">
        <f t="shared" si="127"/>
        <v>143.24551562130176</v>
      </c>
      <c r="Q326" s="42">
        <f t="shared" si="127"/>
        <v>0</v>
      </c>
      <c r="R326" s="42">
        <f t="shared" si="127"/>
        <v>0</v>
      </c>
      <c r="S326" s="42">
        <f t="shared" si="127"/>
        <v>0</v>
      </c>
      <c r="T326" s="42">
        <f t="shared" si="127"/>
        <v>0</v>
      </c>
      <c r="U326" s="42">
        <f t="shared" si="127"/>
        <v>0</v>
      </c>
      <c r="V326" s="42">
        <f t="shared" si="127"/>
        <v>0</v>
      </c>
      <c r="W326" s="42">
        <f t="shared" si="127"/>
        <v>0</v>
      </c>
      <c r="X326" s="42">
        <f t="shared" si="127"/>
        <v>0</v>
      </c>
      <c r="Y326" s="42">
        <f t="shared" si="127"/>
        <v>0</v>
      </c>
      <c r="Z326" s="42">
        <f t="shared" si="127"/>
        <v>0</v>
      </c>
      <c r="AA326" s="42">
        <f t="shared" si="127"/>
        <v>0</v>
      </c>
      <c r="AB326" s="42">
        <f t="shared" si="127"/>
        <v>0</v>
      </c>
      <c r="AC326" s="42">
        <f t="shared" si="127"/>
        <v>0</v>
      </c>
      <c r="AD326" s="42">
        <f t="shared" si="127"/>
        <v>0</v>
      </c>
    </row>
    <row r="327" spans="1:30" ht="51" customHeight="1">
      <c r="A327" s="23" t="s">
        <v>94</v>
      </c>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c r="AA327" s="42"/>
      <c r="AB327" s="42"/>
      <c r="AC327" s="42"/>
      <c r="AD327" s="42"/>
    </row>
    <row r="328" spans="1:30" outlineLevel="1">
      <c r="A328" s="13" t="str">
        <f>A321</f>
        <v>Revenue in A$ - Mid Case</v>
      </c>
      <c r="B328" s="13" t="str">
        <f>B321</f>
        <v>A$ million Real</v>
      </c>
      <c r="C328" s="42">
        <f>SUM(D328:AD328)</f>
        <v>15665.660816433407</v>
      </c>
      <c r="D328" s="42">
        <f t="shared" ref="D328:AD328" si="128">D321</f>
        <v>0</v>
      </c>
      <c r="E328" s="42">
        <f t="shared" si="128"/>
        <v>0</v>
      </c>
      <c r="F328" s="42">
        <f t="shared" si="128"/>
        <v>649.32039576851525</v>
      </c>
      <c r="G328" s="42">
        <f t="shared" si="128"/>
        <v>1171.6395278949788</v>
      </c>
      <c r="H328" s="42">
        <f t="shared" si="128"/>
        <v>1257.1211008709736</v>
      </c>
      <c r="I328" s="42">
        <f t="shared" si="128"/>
        <v>1257.1211008709736</v>
      </c>
      <c r="J328" s="42">
        <f t="shared" si="128"/>
        <v>1301.3929460370086</v>
      </c>
      <c r="K328" s="42">
        <f t="shared" si="128"/>
        <v>1129.1019608193274</v>
      </c>
      <c r="L328" s="42">
        <f t="shared" si="128"/>
        <v>1032.3482991668434</v>
      </c>
      <c r="M328" s="42">
        <f t="shared" si="128"/>
        <v>1016.8189448350911</v>
      </c>
      <c r="N328" s="42">
        <f t="shared" si="128"/>
        <v>1016.8189448350911</v>
      </c>
      <c r="O328" s="42">
        <f t="shared" si="128"/>
        <v>1016.8189448350911</v>
      </c>
      <c r="P328" s="42">
        <f t="shared" si="128"/>
        <v>1057.088022852166</v>
      </c>
      <c r="Q328" s="42">
        <f t="shared" si="128"/>
        <v>881.20573357394085</v>
      </c>
      <c r="R328" s="42">
        <f t="shared" si="128"/>
        <v>875.44429527378475</v>
      </c>
      <c r="S328" s="42">
        <f t="shared" si="128"/>
        <v>875.44429527378475</v>
      </c>
      <c r="T328" s="42">
        <f t="shared" si="128"/>
        <v>1127.9763035258381</v>
      </c>
      <c r="U328" s="42">
        <f t="shared" si="128"/>
        <v>0</v>
      </c>
      <c r="V328" s="42">
        <f t="shared" si="128"/>
        <v>0</v>
      </c>
      <c r="W328" s="42">
        <f t="shared" si="128"/>
        <v>0</v>
      </c>
      <c r="X328" s="42">
        <f t="shared" si="128"/>
        <v>0</v>
      </c>
      <c r="Y328" s="42">
        <f t="shared" si="128"/>
        <v>0</v>
      </c>
      <c r="Z328" s="42">
        <f t="shared" si="128"/>
        <v>0</v>
      </c>
      <c r="AA328" s="42">
        <f t="shared" si="128"/>
        <v>0</v>
      </c>
      <c r="AB328" s="42">
        <f t="shared" si="128"/>
        <v>0</v>
      </c>
      <c r="AC328" s="42">
        <f t="shared" si="128"/>
        <v>0</v>
      </c>
      <c r="AD328" s="42">
        <f t="shared" si="128"/>
        <v>0</v>
      </c>
    </row>
    <row r="329" spans="1:30" outlineLevel="1">
      <c r="A329" s="45" t="str">
        <f>A640</f>
        <v>Product Logistics - copper &amp; moly</v>
      </c>
      <c r="B329" s="45" t="str">
        <f>B640</f>
        <v>A$ millions Real</v>
      </c>
      <c r="C329" s="42">
        <f>SUM(D329:AD329)</f>
        <v>187.39714272832299</v>
      </c>
      <c r="D329" s="42">
        <f t="shared" ref="D329:AD329" si="129">D640</f>
        <v>0</v>
      </c>
      <c r="E329" s="42">
        <f t="shared" si="129"/>
        <v>0</v>
      </c>
      <c r="F329" s="42">
        <f t="shared" si="129"/>
        <v>6.7191622828784103</v>
      </c>
      <c r="G329" s="42">
        <f t="shared" si="129"/>
        <v>12.106042769716632</v>
      </c>
      <c r="H329" s="42">
        <f t="shared" si="129"/>
        <v>13.03071389872923</v>
      </c>
      <c r="I329" s="42">
        <f t="shared" si="129"/>
        <v>13.126904283073312</v>
      </c>
      <c r="J329" s="42">
        <f t="shared" si="129"/>
        <v>13.695828470010417</v>
      </c>
      <c r="K329" s="42">
        <f t="shared" si="129"/>
        <v>12.550847128718924</v>
      </c>
      <c r="L329" s="42">
        <f t="shared" si="129"/>
        <v>12.397226588185079</v>
      </c>
      <c r="M329" s="42">
        <f t="shared" si="129"/>
        <v>12.489017625002909</v>
      </c>
      <c r="N329" s="42">
        <f t="shared" si="129"/>
        <v>12.581684627580735</v>
      </c>
      <c r="O329" s="42">
        <f t="shared" si="129"/>
        <v>12.675278300184337</v>
      </c>
      <c r="P329" s="42">
        <f t="shared" si="129"/>
        <v>12.885797405166786</v>
      </c>
      <c r="Q329" s="42">
        <f t="shared" si="129"/>
        <v>12.305783643842542</v>
      </c>
      <c r="R329" s="42">
        <f t="shared" si="129"/>
        <v>12.316493064573038</v>
      </c>
      <c r="S329" s="42">
        <f t="shared" si="129"/>
        <v>12.408570970129162</v>
      </c>
      <c r="T329" s="42">
        <f t="shared" si="129"/>
        <v>16.107791670531476</v>
      </c>
      <c r="U329" s="42">
        <f t="shared" si="129"/>
        <v>0</v>
      </c>
      <c r="V329" s="42">
        <f t="shared" si="129"/>
        <v>0</v>
      </c>
      <c r="W329" s="42">
        <f t="shared" si="129"/>
        <v>0</v>
      </c>
      <c r="X329" s="42">
        <f t="shared" si="129"/>
        <v>0</v>
      </c>
      <c r="Y329" s="42">
        <f t="shared" si="129"/>
        <v>0</v>
      </c>
      <c r="Z329" s="42">
        <f t="shared" si="129"/>
        <v>0</v>
      </c>
      <c r="AA329" s="42">
        <f t="shared" si="129"/>
        <v>0</v>
      </c>
      <c r="AB329" s="42">
        <f t="shared" si="129"/>
        <v>0</v>
      </c>
      <c r="AC329" s="42">
        <f t="shared" si="129"/>
        <v>0</v>
      </c>
      <c r="AD329" s="42">
        <f t="shared" si="129"/>
        <v>0</v>
      </c>
    </row>
    <row r="330" spans="1:30" s="14" customFormat="1" outlineLevel="1">
      <c r="A330" s="14" t="s">
        <v>398</v>
      </c>
      <c r="B330" s="14" t="s">
        <v>284</v>
      </c>
      <c r="C330" s="44">
        <f>SUM(D330:AD330)</f>
        <v>15478.263673705085</v>
      </c>
      <c r="D330" s="55">
        <f t="shared" ref="D330:AD330" si="130">MAX(0,D328-D329)</f>
        <v>0</v>
      </c>
      <c r="E330" s="55">
        <f t="shared" si="130"/>
        <v>0</v>
      </c>
      <c r="F330" s="55">
        <f t="shared" si="130"/>
        <v>642.60123348563684</v>
      </c>
      <c r="G330" s="55">
        <f t="shared" si="130"/>
        <v>1159.5334851252621</v>
      </c>
      <c r="H330" s="55">
        <f t="shared" si="130"/>
        <v>1244.0903869722445</v>
      </c>
      <c r="I330" s="55">
        <f t="shared" si="130"/>
        <v>1243.9941965879002</v>
      </c>
      <c r="J330" s="55">
        <f t="shared" si="130"/>
        <v>1287.6971175669983</v>
      </c>
      <c r="K330" s="55">
        <f t="shared" si="130"/>
        <v>1116.5511136906084</v>
      </c>
      <c r="L330" s="55">
        <f t="shared" si="130"/>
        <v>1019.9510725786583</v>
      </c>
      <c r="M330" s="55">
        <f t="shared" si="130"/>
        <v>1004.3299272100882</v>
      </c>
      <c r="N330" s="55">
        <f t="shared" si="130"/>
        <v>1004.2372602075103</v>
      </c>
      <c r="O330" s="55">
        <f t="shared" si="130"/>
        <v>1004.1436665349067</v>
      </c>
      <c r="P330" s="55">
        <f t="shared" si="130"/>
        <v>1044.2022254469991</v>
      </c>
      <c r="Q330" s="55">
        <f t="shared" si="130"/>
        <v>868.89994993009827</v>
      </c>
      <c r="R330" s="55">
        <f t="shared" si="130"/>
        <v>863.12780220921172</v>
      </c>
      <c r="S330" s="55">
        <f t="shared" si="130"/>
        <v>863.03572430365557</v>
      </c>
      <c r="T330" s="55">
        <f t="shared" si="130"/>
        <v>1111.8685118553067</v>
      </c>
      <c r="U330" s="55">
        <f t="shared" si="130"/>
        <v>0</v>
      </c>
      <c r="V330" s="55">
        <f t="shared" si="130"/>
        <v>0</v>
      </c>
      <c r="W330" s="55">
        <f t="shared" si="130"/>
        <v>0</v>
      </c>
      <c r="X330" s="55">
        <f t="shared" si="130"/>
        <v>0</v>
      </c>
      <c r="Y330" s="55">
        <f t="shared" si="130"/>
        <v>0</v>
      </c>
      <c r="Z330" s="55">
        <f t="shared" si="130"/>
        <v>0</v>
      </c>
      <c r="AA330" s="55">
        <f t="shared" si="130"/>
        <v>0</v>
      </c>
      <c r="AB330" s="55">
        <f t="shared" si="130"/>
        <v>0</v>
      </c>
      <c r="AC330" s="55">
        <f t="shared" si="130"/>
        <v>0</v>
      </c>
      <c r="AD330" s="55">
        <f t="shared" si="130"/>
        <v>0</v>
      </c>
    </row>
    <row r="331" spans="1:30" outlineLevel="1">
      <c r="C331" s="91"/>
      <c r="D331" s="42"/>
      <c r="E331" s="42"/>
      <c r="F331" s="42"/>
      <c r="G331" s="42"/>
      <c r="H331" s="42"/>
      <c r="I331" s="42"/>
      <c r="J331" s="42"/>
      <c r="K331" s="42"/>
      <c r="L331" s="42"/>
      <c r="M331" s="42"/>
      <c r="N331" s="42"/>
      <c r="O331" s="42"/>
      <c r="P331" s="42"/>
      <c r="Q331" s="42"/>
      <c r="R331" s="42"/>
      <c r="S331" s="42"/>
      <c r="T331" s="42"/>
      <c r="U331" s="42"/>
      <c r="V331" s="42"/>
      <c r="W331" s="42"/>
      <c r="X331" s="42"/>
      <c r="Y331" s="42"/>
      <c r="Z331" s="42"/>
      <c r="AA331" s="42"/>
      <c r="AB331" s="42"/>
      <c r="AC331" s="42"/>
      <c r="AD331" s="42"/>
    </row>
    <row r="332" spans="1:30" s="8" customFormat="1" ht="15.5" outlineLevel="1">
      <c r="A332" s="242" t="str">
        <f>'Expected NPV &amp; Common Data'!A$36</f>
        <v>Calendar Year --&gt;</v>
      </c>
      <c r="B332" s="243" t="str">
        <f>'Expected NPV &amp; Common Data'!B$36</f>
        <v>units</v>
      </c>
      <c r="C332" s="244" t="str">
        <f>'Expected NPV &amp; Common Data'!C$36</f>
        <v>Total</v>
      </c>
      <c r="D332" s="245">
        <f>'Expected NPV &amp; Common Data'!D$36</f>
        <v>2027</v>
      </c>
      <c r="E332" s="245">
        <f>'Expected NPV &amp; Common Data'!E$36</f>
        <v>2028</v>
      </c>
      <c r="F332" s="245">
        <f>'Expected NPV &amp; Common Data'!F$36</f>
        <v>2029</v>
      </c>
      <c r="G332" s="245">
        <f>'Expected NPV &amp; Common Data'!G$36</f>
        <v>2030</v>
      </c>
      <c r="H332" s="245">
        <f>'Expected NPV &amp; Common Data'!H$36</f>
        <v>2031</v>
      </c>
      <c r="I332" s="245">
        <f>'Expected NPV &amp; Common Data'!I$36</f>
        <v>2032</v>
      </c>
      <c r="J332" s="245">
        <f>'Expected NPV &amp; Common Data'!J$36</f>
        <v>2033</v>
      </c>
      <c r="K332" s="245">
        <f>'Expected NPV &amp; Common Data'!K$36</f>
        <v>2034</v>
      </c>
      <c r="L332" s="245">
        <f>'Expected NPV &amp; Common Data'!L$36</f>
        <v>2035</v>
      </c>
      <c r="M332" s="245">
        <f>'Expected NPV &amp; Common Data'!M$36</f>
        <v>2036</v>
      </c>
      <c r="N332" s="245">
        <f>'Expected NPV &amp; Common Data'!N$36</f>
        <v>2037</v>
      </c>
      <c r="O332" s="245">
        <f>'Expected NPV &amp; Common Data'!O$36</f>
        <v>2038</v>
      </c>
      <c r="P332" s="245">
        <f>'Expected NPV &amp; Common Data'!P$36</f>
        <v>2039</v>
      </c>
      <c r="Q332" s="245">
        <f>'Expected NPV &amp; Common Data'!Q$36</f>
        <v>2040</v>
      </c>
      <c r="R332" s="245">
        <f>'Expected NPV &amp; Common Data'!R$36</f>
        <v>2041</v>
      </c>
      <c r="S332" s="245">
        <f>'Expected NPV &amp; Common Data'!S$36</f>
        <v>2042</v>
      </c>
      <c r="T332" s="245">
        <f>'Expected NPV &amp; Common Data'!T$36</f>
        <v>2043</v>
      </c>
      <c r="U332" s="245">
        <f>'Expected NPV &amp; Common Data'!U$36</f>
        <v>2044</v>
      </c>
      <c r="V332" s="245">
        <f>'Expected NPV &amp; Common Data'!V$36</f>
        <v>2045</v>
      </c>
      <c r="W332" s="245">
        <f>'Expected NPV &amp; Common Data'!W$36</f>
        <v>2046</v>
      </c>
      <c r="X332" s="245">
        <f>'Expected NPV &amp; Common Data'!X$36</f>
        <v>2047</v>
      </c>
      <c r="Y332" s="245">
        <f>'Expected NPV &amp; Common Data'!Y$36</f>
        <v>2048</v>
      </c>
      <c r="Z332" s="245">
        <f>'Expected NPV &amp; Common Data'!Z$36</f>
        <v>2049</v>
      </c>
      <c r="AA332" s="245">
        <f>'Expected NPV &amp; Common Data'!AA$36</f>
        <v>2050</v>
      </c>
      <c r="AB332" s="245">
        <f>'Expected NPV &amp; Common Data'!AB$36</f>
        <v>2051</v>
      </c>
      <c r="AC332" s="245">
        <f>'Expected NPV &amp; Common Data'!AC$36</f>
        <v>2052</v>
      </c>
      <c r="AD332" s="245">
        <f>'Expected NPV &amp; Common Data'!AD$36</f>
        <v>2053</v>
      </c>
    </row>
    <row r="333" spans="1:30" s="32" customFormat="1" ht="53.25" customHeight="1">
      <c r="A333" s="21" t="s">
        <v>12</v>
      </c>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c r="AD333" s="33"/>
    </row>
    <row r="334" spans="1:30" ht="28.25" customHeight="1" outlineLevel="1">
      <c r="A334" s="23" t="s">
        <v>286</v>
      </c>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row>
    <row r="335" spans="1:30" s="134" customFormat="1" outlineLevel="1">
      <c r="A335" s="134" t="s">
        <v>550</v>
      </c>
      <c r="C335" s="259"/>
      <c r="D335" s="259"/>
      <c r="E335" s="259"/>
      <c r="F335" s="259"/>
      <c r="G335" s="259"/>
      <c r="H335" s="259"/>
      <c r="I335" s="259"/>
      <c r="J335" s="259"/>
      <c r="K335" s="259"/>
      <c r="L335" s="259"/>
      <c r="M335" s="259"/>
      <c r="N335" s="259"/>
      <c r="O335" s="259"/>
      <c r="P335" s="259"/>
      <c r="Q335" s="259"/>
      <c r="R335" s="259"/>
      <c r="S335" s="259"/>
      <c r="T335" s="259"/>
      <c r="U335" s="259"/>
      <c r="V335" s="259"/>
      <c r="W335" s="259"/>
      <c r="X335" s="259"/>
      <c r="Y335" s="259"/>
      <c r="Z335" s="259"/>
      <c r="AA335" s="259"/>
      <c r="AB335" s="259"/>
      <c r="AC335" s="259"/>
      <c r="AD335" s="259"/>
    </row>
    <row r="336" spans="1:30" s="265" customFormat="1" outlineLevel="1">
      <c r="A336" s="265" t="s">
        <v>580</v>
      </c>
      <c r="C336" s="266"/>
      <c r="D336" s="266"/>
      <c r="E336" s="266"/>
      <c r="F336" s="266"/>
      <c r="G336" s="266"/>
      <c r="H336" s="266"/>
      <c r="I336" s="266"/>
      <c r="J336" s="266"/>
      <c r="K336" s="266"/>
      <c r="L336" s="266"/>
      <c r="M336" s="266"/>
      <c r="N336" s="266"/>
      <c r="O336" s="266"/>
      <c r="P336" s="266"/>
      <c r="Q336" s="266"/>
      <c r="R336" s="266"/>
      <c r="S336" s="266"/>
      <c r="T336" s="266"/>
      <c r="U336" s="266"/>
      <c r="V336" s="266"/>
      <c r="W336" s="266"/>
      <c r="X336" s="266"/>
      <c r="Y336" s="266"/>
      <c r="Z336" s="266"/>
      <c r="AA336" s="266"/>
      <c r="AB336" s="266"/>
      <c r="AC336" s="266"/>
      <c r="AD336" s="266"/>
    </row>
    <row r="337" spans="1:30" s="265" customFormat="1" outlineLevel="1">
      <c r="A337" s="265" t="s">
        <v>581</v>
      </c>
      <c r="C337" s="266"/>
      <c r="D337" s="266"/>
      <c r="E337" s="266"/>
      <c r="F337" s="266"/>
      <c r="G337" s="266"/>
      <c r="H337" s="266"/>
      <c r="I337" s="266"/>
      <c r="J337" s="266"/>
      <c r="K337" s="266"/>
      <c r="L337" s="266"/>
      <c r="M337" s="266"/>
      <c r="N337" s="266"/>
      <c r="O337" s="266"/>
      <c r="P337" s="266"/>
      <c r="Q337" s="266"/>
      <c r="R337" s="266"/>
      <c r="S337" s="266"/>
      <c r="T337" s="266"/>
      <c r="U337" s="266"/>
      <c r="V337" s="266"/>
      <c r="W337" s="266"/>
      <c r="X337" s="266"/>
      <c r="Y337" s="266"/>
      <c r="Z337" s="266"/>
      <c r="AA337" s="266"/>
      <c r="AB337" s="266"/>
      <c r="AC337" s="266"/>
      <c r="AD337" s="266"/>
    </row>
    <row r="338" spans="1:30" outlineLevel="1">
      <c r="A338" s="214" t="s">
        <v>440</v>
      </c>
      <c r="B338" s="13" t="s">
        <v>285</v>
      </c>
      <c r="C338" s="44">
        <f t="shared" ref="C338:C346" si="131">SUM(D338:AD338)</f>
        <v>40</v>
      </c>
      <c r="D338" s="219">
        <v>10</v>
      </c>
      <c r="E338" s="219">
        <v>30</v>
      </c>
      <c r="F338" s="219"/>
      <c r="G338" s="141"/>
    </row>
    <row r="339" spans="1:30" outlineLevel="1">
      <c r="A339" s="214" t="s">
        <v>266</v>
      </c>
      <c r="B339" s="13" t="s">
        <v>285</v>
      </c>
      <c r="C339" s="44">
        <f t="shared" ref="C339" si="132">SUM(D339:AD339)</f>
        <v>190</v>
      </c>
      <c r="D339" s="219">
        <v>100</v>
      </c>
      <c r="E339" s="219">
        <v>80</v>
      </c>
      <c r="F339" s="219">
        <v>10</v>
      </c>
      <c r="G339" s="141"/>
    </row>
    <row r="340" spans="1:30" outlineLevel="1">
      <c r="A340" s="214" t="s">
        <v>267</v>
      </c>
      <c r="B340" s="13" t="s">
        <v>285</v>
      </c>
      <c r="C340" s="44">
        <f t="shared" si="131"/>
        <v>620</v>
      </c>
      <c r="D340" s="219">
        <v>200</v>
      </c>
      <c r="E340" s="219">
        <v>400</v>
      </c>
      <c r="F340" s="219">
        <v>20</v>
      </c>
      <c r="G340" s="141"/>
    </row>
    <row r="341" spans="1:30" outlineLevel="1">
      <c r="A341" s="214" t="s">
        <v>269</v>
      </c>
      <c r="B341" s="13" t="s">
        <v>285</v>
      </c>
      <c r="C341" s="44">
        <f t="shared" si="131"/>
        <v>158</v>
      </c>
      <c r="D341" s="219">
        <v>50</v>
      </c>
      <c r="E341" s="219">
        <v>100</v>
      </c>
      <c r="F341" s="219">
        <v>8</v>
      </c>
      <c r="G341" s="141"/>
    </row>
    <row r="342" spans="1:30" outlineLevel="1">
      <c r="A342" s="214" t="s">
        <v>270</v>
      </c>
      <c r="B342" s="13" t="s">
        <v>285</v>
      </c>
      <c r="C342" s="44">
        <f t="shared" si="131"/>
        <v>12</v>
      </c>
      <c r="D342" s="219"/>
      <c r="E342" s="219"/>
      <c r="F342" s="219">
        <v>12</v>
      </c>
      <c r="G342" s="141"/>
    </row>
    <row r="343" spans="1:30" outlineLevel="1">
      <c r="A343" s="214" t="s">
        <v>268</v>
      </c>
      <c r="B343" s="13" t="s">
        <v>285</v>
      </c>
      <c r="C343" s="44">
        <f>SUM(D343:AD343)</f>
        <v>130</v>
      </c>
      <c r="D343" s="219">
        <v>40</v>
      </c>
      <c r="E343" s="219">
        <v>80</v>
      </c>
      <c r="F343" s="219">
        <v>10</v>
      </c>
      <c r="G343" s="141"/>
    </row>
    <row r="344" spans="1:30" outlineLevel="1">
      <c r="A344" s="214" t="s">
        <v>436</v>
      </c>
      <c r="B344" s="13" t="s">
        <v>285</v>
      </c>
      <c r="C344" s="44">
        <f t="shared" si="131"/>
        <v>77</v>
      </c>
      <c r="D344" s="219">
        <v>25</v>
      </c>
      <c r="E344" s="219">
        <v>45</v>
      </c>
      <c r="F344" s="219">
        <v>7</v>
      </c>
      <c r="G344" s="141"/>
    </row>
    <row r="345" spans="1:30" outlineLevel="1">
      <c r="A345" s="214" t="s">
        <v>271</v>
      </c>
      <c r="B345" s="13" t="s">
        <v>285</v>
      </c>
      <c r="C345" s="44">
        <f t="shared" si="131"/>
        <v>0</v>
      </c>
      <c r="D345" s="219"/>
      <c r="E345" s="219"/>
      <c r="F345" s="219"/>
    </row>
    <row r="346" spans="1:30" s="14" customFormat="1" outlineLevel="1">
      <c r="A346" s="14" t="s">
        <v>524</v>
      </c>
      <c r="B346" s="13" t="s">
        <v>285</v>
      </c>
      <c r="C346" s="44">
        <f t="shared" si="131"/>
        <v>1227</v>
      </c>
      <c r="D346" s="55">
        <f t="shared" ref="D346:AD346" si="133">SUM(D338:D345)</f>
        <v>425</v>
      </c>
      <c r="E346" s="55">
        <f t="shared" si="133"/>
        <v>735</v>
      </c>
      <c r="F346" s="55">
        <f t="shared" si="133"/>
        <v>67</v>
      </c>
      <c r="G346" s="55">
        <f t="shared" si="133"/>
        <v>0</v>
      </c>
      <c r="H346" s="55">
        <f t="shared" si="133"/>
        <v>0</v>
      </c>
      <c r="I346" s="55">
        <f t="shared" si="133"/>
        <v>0</v>
      </c>
      <c r="J346" s="55">
        <f t="shared" si="133"/>
        <v>0</v>
      </c>
      <c r="K346" s="55">
        <f t="shared" si="133"/>
        <v>0</v>
      </c>
      <c r="L346" s="55">
        <f t="shared" si="133"/>
        <v>0</v>
      </c>
      <c r="M346" s="55">
        <f t="shared" si="133"/>
        <v>0</v>
      </c>
      <c r="N346" s="55">
        <f t="shared" si="133"/>
        <v>0</v>
      </c>
      <c r="O346" s="55">
        <f t="shared" si="133"/>
        <v>0</v>
      </c>
      <c r="P346" s="55">
        <f t="shared" si="133"/>
        <v>0</v>
      </c>
      <c r="Q346" s="55">
        <f t="shared" si="133"/>
        <v>0</v>
      </c>
      <c r="R346" s="55">
        <f t="shared" si="133"/>
        <v>0</v>
      </c>
      <c r="S346" s="55">
        <f t="shared" si="133"/>
        <v>0</v>
      </c>
      <c r="T346" s="55">
        <f t="shared" si="133"/>
        <v>0</v>
      </c>
      <c r="U346" s="55">
        <f t="shared" si="133"/>
        <v>0</v>
      </c>
      <c r="V346" s="55">
        <f t="shared" si="133"/>
        <v>0</v>
      </c>
      <c r="W346" s="55">
        <f t="shared" si="133"/>
        <v>0</v>
      </c>
      <c r="X346" s="55">
        <f t="shared" si="133"/>
        <v>0</v>
      </c>
      <c r="Y346" s="55">
        <f t="shared" si="133"/>
        <v>0</v>
      </c>
      <c r="Z346" s="55">
        <f t="shared" si="133"/>
        <v>0</v>
      </c>
      <c r="AA346" s="55">
        <f t="shared" si="133"/>
        <v>0</v>
      </c>
      <c r="AB346" s="55">
        <f t="shared" si="133"/>
        <v>0</v>
      </c>
      <c r="AC346" s="55">
        <f t="shared" si="133"/>
        <v>0</v>
      </c>
      <c r="AD346" s="55">
        <f t="shared" si="133"/>
        <v>0</v>
      </c>
    </row>
    <row r="347" spans="1:30" ht="33" customHeight="1" outlineLevel="1">
      <c r="A347" s="23" t="s">
        <v>287</v>
      </c>
      <c r="C347" s="133"/>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row>
    <row r="348" spans="1:30" outlineLevel="1">
      <c r="A348" s="265" t="s">
        <v>551</v>
      </c>
      <c r="C348" s="38"/>
    </row>
    <row r="349" spans="1:30" outlineLevel="1">
      <c r="A349" s="214" t="s">
        <v>272</v>
      </c>
      <c r="B349" s="214" t="s">
        <v>273</v>
      </c>
      <c r="C349" s="215"/>
      <c r="D349" s="220">
        <v>0.04</v>
      </c>
      <c r="E349" s="220">
        <f t="shared" ref="E349:AD349" si="134">D349</f>
        <v>0.04</v>
      </c>
      <c r="F349" s="220">
        <f t="shared" si="134"/>
        <v>0.04</v>
      </c>
      <c r="G349" s="220">
        <f t="shared" si="134"/>
        <v>0.04</v>
      </c>
      <c r="H349" s="220">
        <f t="shared" si="134"/>
        <v>0.04</v>
      </c>
      <c r="I349" s="220">
        <f t="shared" si="134"/>
        <v>0.04</v>
      </c>
      <c r="J349" s="220">
        <f t="shared" si="134"/>
        <v>0.04</v>
      </c>
      <c r="K349" s="220">
        <f t="shared" si="134"/>
        <v>0.04</v>
      </c>
      <c r="L349" s="220">
        <f t="shared" si="134"/>
        <v>0.04</v>
      </c>
      <c r="M349" s="220">
        <f t="shared" si="134"/>
        <v>0.04</v>
      </c>
      <c r="N349" s="220">
        <f t="shared" si="134"/>
        <v>0.04</v>
      </c>
      <c r="O349" s="220">
        <f t="shared" si="134"/>
        <v>0.04</v>
      </c>
      <c r="P349" s="220">
        <f t="shared" si="134"/>
        <v>0.04</v>
      </c>
      <c r="Q349" s="220">
        <f t="shared" si="134"/>
        <v>0.04</v>
      </c>
      <c r="R349" s="220">
        <f t="shared" si="134"/>
        <v>0.04</v>
      </c>
      <c r="S349" s="220">
        <f t="shared" si="134"/>
        <v>0.04</v>
      </c>
      <c r="T349" s="220">
        <f t="shared" si="134"/>
        <v>0.04</v>
      </c>
      <c r="U349" s="220">
        <f t="shared" si="134"/>
        <v>0.04</v>
      </c>
      <c r="V349" s="220">
        <f t="shared" si="134"/>
        <v>0.04</v>
      </c>
      <c r="W349" s="220">
        <f t="shared" si="134"/>
        <v>0.04</v>
      </c>
      <c r="X349" s="220">
        <f t="shared" si="134"/>
        <v>0.04</v>
      </c>
      <c r="Y349" s="220">
        <f t="shared" si="134"/>
        <v>0.04</v>
      </c>
      <c r="Z349" s="220">
        <f t="shared" si="134"/>
        <v>0.04</v>
      </c>
      <c r="AA349" s="220">
        <f t="shared" si="134"/>
        <v>0.04</v>
      </c>
      <c r="AB349" s="220">
        <f t="shared" si="134"/>
        <v>0.04</v>
      </c>
      <c r="AC349" s="220">
        <f t="shared" si="134"/>
        <v>0.04</v>
      </c>
      <c r="AD349" s="220">
        <f t="shared" si="134"/>
        <v>0.04</v>
      </c>
    </row>
    <row r="350" spans="1:30">
      <c r="A350" s="45" t="str">
        <f>A349</f>
        <v>ongoing capex - general</v>
      </c>
      <c r="C350" s="42">
        <f>SUM(D350:AD350)</f>
        <v>736.2</v>
      </c>
      <c r="D350" s="42">
        <f t="shared" ref="D350:AD350" si="135">IF(D154=0,0,D349*$C346)</f>
        <v>0</v>
      </c>
      <c r="E350" s="42">
        <f t="shared" si="135"/>
        <v>0</v>
      </c>
      <c r="F350" s="42">
        <f t="shared" si="135"/>
        <v>49.08</v>
      </c>
      <c r="G350" s="42">
        <f t="shared" si="135"/>
        <v>49.08</v>
      </c>
      <c r="H350" s="42">
        <f t="shared" si="135"/>
        <v>49.08</v>
      </c>
      <c r="I350" s="42">
        <f t="shared" si="135"/>
        <v>49.08</v>
      </c>
      <c r="J350" s="42">
        <f t="shared" si="135"/>
        <v>49.08</v>
      </c>
      <c r="K350" s="42">
        <f t="shared" si="135"/>
        <v>49.08</v>
      </c>
      <c r="L350" s="42">
        <f t="shared" si="135"/>
        <v>49.08</v>
      </c>
      <c r="M350" s="42">
        <f t="shared" si="135"/>
        <v>49.08</v>
      </c>
      <c r="N350" s="42">
        <f t="shared" si="135"/>
        <v>49.08</v>
      </c>
      <c r="O350" s="42">
        <f t="shared" si="135"/>
        <v>49.08</v>
      </c>
      <c r="P350" s="42">
        <f t="shared" si="135"/>
        <v>49.08</v>
      </c>
      <c r="Q350" s="42">
        <f t="shared" si="135"/>
        <v>49.08</v>
      </c>
      <c r="R350" s="42">
        <f t="shared" si="135"/>
        <v>49.08</v>
      </c>
      <c r="S350" s="42">
        <f t="shared" si="135"/>
        <v>49.08</v>
      </c>
      <c r="T350" s="42">
        <f t="shared" si="135"/>
        <v>49.08</v>
      </c>
      <c r="U350" s="42">
        <f t="shared" si="135"/>
        <v>0</v>
      </c>
      <c r="V350" s="42">
        <f t="shared" si="135"/>
        <v>0</v>
      </c>
      <c r="W350" s="42">
        <f t="shared" si="135"/>
        <v>0</v>
      </c>
      <c r="X350" s="42">
        <f t="shared" si="135"/>
        <v>0</v>
      </c>
      <c r="Y350" s="42">
        <f t="shared" si="135"/>
        <v>0</v>
      </c>
      <c r="Z350" s="42">
        <f t="shared" si="135"/>
        <v>0</v>
      </c>
      <c r="AA350" s="42">
        <f t="shared" si="135"/>
        <v>0</v>
      </c>
      <c r="AB350" s="42">
        <f t="shared" si="135"/>
        <v>0</v>
      </c>
      <c r="AC350" s="42">
        <f t="shared" si="135"/>
        <v>0</v>
      </c>
      <c r="AD350" s="42">
        <f t="shared" si="135"/>
        <v>0</v>
      </c>
    </row>
    <row r="351" spans="1:30">
      <c r="C351" s="44"/>
      <c r="D351" s="42"/>
      <c r="E351" s="42"/>
      <c r="F351" s="42"/>
      <c r="G351" s="42"/>
      <c r="H351" s="42"/>
      <c r="I351" s="42"/>
      <c r="J351" s="42"/>
      <c r="K351" s="42"/>
      <c r="L351" s="42"/>
      <c r="M351" s="42"/>
      <c r="N351" s="42"/>
      <c r="O351" s="42"/>
      <c r="P351" s="42"/>
      <c r="Q351" s="42"/>
      <c r="R351" s="42"/>
      <c r="S351" s="42"/>
      <c r="T351" s="42"/>
      <c r="U351" s="42"/>
      <c r="V351" s="42"/>
      <c r="W351" s="42"/>
      <c r="X351" s="42"/>
      <c r="Y351" s="42"/>
      <c r="Z351" s="42"/>
      <c r="AA351" s="42"/>
      <c r="AB351" s="42"/>
      <c r="AC351" s="42"/>
      <c r="AD351" s="42"/>
    </row>
    <row r="352" spans="1:30" outlineLevel="1">
      <c r="A352" s="214" t="s">
        <v>221</v>
      </c>
      <c r="B352" s="13" t="s">
        <v>285</v>
      </c>
      <c r="C352" s="42">
        <f>SUM(D352:AD352)</f>
        <v>60</v>
      </c>
      <c r="D352" s="219"/>
      <c r="E352" s="219"/>
      <c r="F352" s="219"/>
      <c r="G352" s="219"/>
      <c r="H352" s="219"/>
      <c r="I352" s="219">
        <v>25</v>
      </c>
      <c r="J352" s="219"/>
      <c r="K352" s="219"/>
      <c r="L352" s="219"/>
      <c r="M352" s="219">
        <v>20</v>
      </c>
      <c r="N352" s="219"/>
      <c r="O352" s="219"/>
      <c r="P352" s="219"/>
      <c r="Q352" s="219">
        <v>15</v>
      </c>
      <c r="R352" s="219"/>
      <c r="S352" s="219"/>
      <c r="T352" s="219"/>
      <c r="U352" s="219"/>
      <c r="V352" s="219"/>
      <c r="W352" s="219"/>
      <c r="X352" s="219"/>
      <c r="Y352" s="219"/>
      <c r="Z352" s="219"/>
      <c r="AA352" s="219"/>
      <c r="AB352" s="219"/>
      <c r="AC352" s="219"/>
      <c r="AD352" s="219"/>
    </row>
    <row r="353" spans="1:30" outlineLevel="1">
      <c r="A353" s="214"/>
      <c r="C353" s="42"/>
      <c r="D353" s="219"/>
      <c r="E353" s="219"/>
      <c r="F353" s="219"/>
      <c r="G353" s="219"/>
      <c r="H353" s="219"/>
      <c r="I353" s="219"/>
      <c r="J353" s="219"/>
      <c r="K353" s="219"/>
      <c r="L353" s="219"/>
      <c r="M353" s="219"/>
      <c r="N353" s="219"/>
      <c r="O353" s="219"/>
      <c r="P353" s="219"/>
      <c r="Q353" s="219"/>
      <c r="R353" s="219"/>
      <c r="S353" s="219"/>
      <c r="T353" s="219"/>
      <c r="U353" s="219"/>
      <c r="V353" s="219"/>
      <c r="W353" s="219"/>
      <c r="X353" s="219"/>
      <c r="Y353" s="219"/>
      <c r="Z353" s="219"/>
      <c r="AA353" s="219"/>
      <c r="AB353" s="219"/>
      <c r="AC353" s="219"/>
      <c r="AD353" s="219"/>
    </row>
    <row r="354" spans="1:30" s="14" customFormat="1" outlineLevel="1">
      <c r="A354" s="14" t="s">
        <v>122</v>
      </c>
      <c r="B354" s="13" t="s">
        <v>285</v>
      </c>
      <c r="C354" s="44">
        <f>SUM(D354:AD354)</f>
        <v>796.20000000000016</v>
      </c>
      <c r="D354" s="55">
        <f t="shared" ref="D354:AD354" si="136">D350+D352</f>
        <v>0</v>
      </c>
      <c r="E354" s="55">
        <f t="shared" si="136"/>
        <v>0</v>
      </c>
      <c r="F354" s="55">
        <f t="shared" si="136"/>
        <v>49.08</v>
      </c>
      <c r="G354" s="55">
        <f t="shared" si="136"/>
        <v>49.08</v>
      </c>
      <c r="H354" s="55">
        <f t="shared" si="136"/>
        <v>49.08</v>
      </c>
      <c r="I354" s="55">
        <f t="shared" si="136"/>
        <v>74.08</v>
      </c>
      <c r="J354" s="55">
        <f t="shared" si="136"/>
        <v>49.08</v>
      </c>
      <c r="K354" s="55">
        <f t="shared" si="136"/>
        <v>49.08</v>
      </c>
      <c r="L354" s="55">
        <f t="shared" si="136"/>
        <v>49.08</v>
      </c>
      <c r="M354" s="55">
        <f t="shared" si="136"/>
        <v>69.08</v>
      </c>
      <c r="N354" s="55">
        <f t="shared" si="136"/>
        <v>49.08</v>
      </c>
      <c r="O354" s="55">
        <f t="shared" si="136"/>
        <v>49.08</v>
      </c>
      <c r="P354" s="55">
        <f t="shared" si="136"/>
        <v>49.08</v>
      </c>
      <c r="Q354" s="55">
        <f t="shared" si="136"/>
        <v>64.08</v>
      </c>
      <c r="R354" s="55">
        <f t="shared" si="136"/>
        <v>49.08</v>
      </c>
      <c r="S354" s="55">
        <f t="shared" si="136"/>
        <v>49.08</v>
      </c>
      <c r="T354" s="55">
        <f t="shared" si="136"/>
        <v>49.08</v>
      </c>
      <c r="U354" s="55">
        <f t="shared" si="136"/>
        <v>0</v>
      </c>
      <c r="V354" s="55">
        <f t="shared" si="136"/>
        <v>0</v>
      </c>
      <c r="W354" s="55">
        <f t="shared" si="136"/>
        <v>0</v>
      </c>
      <c r="X354" s="55">
        <f t="shared" si="136"/>
        <v>0</v>
      </c>
      <c r="Y354" s="55">
        <f t="shared" si="136"/>
        <v>0</v>
      </c>
      <c r="Z354" s="55">
        <f t="shared" si="136"/>
        <v>0</v>
      </c>
      <c r="AA354" s="55">
        <f t="shared" si="136"/>
        <v>0</v>
      </c>
      <c r="AB354" s="55">
        <f t="shared" si="136"/>
        <v>0</v>
      </c>
      <c r="AC354" s="55">
        <f t="shared" si="136"/>
        <v>0</v>
      </c>
      <c r="AD354" s="55">
        <f t="shared" si="136"/>
        <v>0</v>
      </c>
    </row>
    <row r="355" spans="1:30" s="14" customFormat="1" outlineLevel="1">
      <c r="B355" s="13"/>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c r="AA355" s="44"/>
      <c r="AB355" s="44"/>
      <c r="AC355" s="44"/>
      <c r="AD355" s="44"/>
    </row>
    <row r="356" spans="1:30" s="14" customFormat="1" outlineLevel="1">
      <c r="A356" s="14" t="s">
        <v>288</v>
      </c>
      <c r="B356" s="13" t="s">
        <v>285</v>
      </c>
      <c r="C356" s="44">
        <f>SUM(D356:AD356)</f>
        <v>2023.1999999999989</v>
      </c>
      <c r="D356" s="55">
        <f t="shared" ref="D356:AD356" si="137">D346+D354</f>
        <v>425</v>
      </c>
      <c r="E356" s="55">
        <f t="shared" si="137"/>
        <v>735</v>
      </c>
      <c r="F356" s="55">
        <f t="shared" si="137"/>
        <v>116.08</v>
      </c>
      <c r="G356" s="55">
        <f t="shared" si="137"/>
        <v>49.08</v>
      </c>
      <c r="H356" s="55">
        <f t="shared" si="137"/>
        <v>49.08</v>
      </c>
      <c r="I356" s="55">
        <f t="shared" si="137"/>
        <v>74.08</v>
      </c>
      <c r="J356" s="55">
        <f t="shared" si="137"/>
        <v>49.08</v>
      </c>
      <c r="K356" s="55">
        <f t="shared" si="137"/>
        <v>49.08</v>
      </c>
      <c r="L356" s="55">
        <f t="shared" si="137"/>
        <v>49.08</v>
      </c>
      <c r="M356" s="55">
        <f t="shared" si="137"/>
        <v>69.08</v>
      </c>
      <c r="N356" s="55">
        <f t="shared" si="137"/>
        <v>49.08</v>
      </c>
      <c r="O356" s="55">
        <f t="shared" si="137"/>
        <v>49.08</v>
      </c>
      <c r="P356" s="55">
        <f t="shared" si="137"/>
        <v>49.08</v>
      </c>
      <c r="Q356" s="55">
        <f t="shared" si="137"/>
        <v>64.08</v>
      </c>
      <c r="R356" s="55">
        <f t="shared" si="137"/>
        <v>49.08</v>
      </c>
      <c r="S356" s="55">
        <f t="shared" si="137"/>
        <v>49.08</v>
      </c>
      <c r="T356" s="55">
        <f t="shared" si="137"/>
        <v>49.08</v>
      </c>
      <c r="U356" s="55">
        <f t="shared" si="137"/>
        <v>0</v>
      </c>
      <c r="V356" s="55">
        <f t="shared" si="137"/>
        <v>0</v>
      </c>
      <c r="W356" s="55">
        <f t="shared" si="137"/>
        <v>0</v>
      </c>
      <c r="X356" s="55">
        <f t="shared" si="137"/>
        <v>0</v>
      </c>
      <c r="Y356" s="55">
        <f t="shared" si="137"/>
        <v>0</v>
      </c>
      <c r="Z356" s="55">
        <f t="shared" si="137"/>
        <v>0</v>
      </c>
      <c r="AA356" s="55">
        <f t="shared" si="137"/>
        <v>0</v>
      </c>
      <c r="AB356" s="55">
        <f t="shared" si="137"/>
        <v>0</v>
      </c>
      <c r="AC356" s="55">
        <f t="shared" si="137"/>
        <v>0</v>
      </c>
      <c r="AD356" s="55">
        <f t="shared" si="137"/>
        <v>0</v>
      </c>
    </row>
    <row r="357" spans="1:30" outlineLevel="1">
      <c r="A357" s="144" t="str">
        <f>A$98</f>
        <v>Forex: A$ = US$  - mid case</v>
      </c>
      <c r="B357" s="142" t="str">
        <f>B$98</f>
        <v>A$1.00 = US$ ....</v>
      </c>
      <c r="C357" s="57"/>
      <c r="D357" s="57">
        <f t="shared" ref="D357:AD357" si="138">D$98</f>
        <v>0.65</v>
      </c>
      <c r="E357" s="57">
        <f t="shared" si="138"/>
        <v>0.65</v>
      </c>
      <c r="F357" s="57">
        <f t="shared" si="138"/>
        <v>0.65</v>
      </c>
      <c r="G357" s="57">
        <f t="shared" si="138"/>
        <v>0.65</v>
      </c>
      <c r="H357" s="57">
        <f t="shared" si="138"/>
        <v>0.65</v>
      </c>
      <c r="I357" s="57">
        <f t="shared" si="138"/>
        <v>0.65</v>
      </c>
      <c r="J357" s="57">
        <f t="shared" si="138"/>
        <v>0.65</v>
      </c>
      <c r="K357" s="57">
        <f t="shared" si="138"/>
        <v>0.65</v>
      </c>
      <c r="L357" s="57">
        <f t="shared" si="138"/>
        <v>0.65</v>
      </c>
      <c r="M357" s="57">
        <f t="shared" si="138"/>
        <v>0.65</v>
      </c>
      <c r="N357" s="57">
        <f t="shared" si="138"/>
        <v>0.65</v>
      </c>
      <c r="O357" s="57">
        <f t="shared" si="138"/>
        <v>0.65</v>
      </c>
      <c r="P357" s="57">
        <f t="shared" si="138"/>
        <v>0.65</v>
      </c>
      <c r="Q357" s="57">
        <f t="shared" si="138"/>
        <v>0.65</v>
      </c>
      <c r="R357" s="57">
        <f t="shared" si="138"/>
        <v>0.65</v>
      </c>
      <c r="S357" s="57">
        <f t="shared" si="138"/>
        <v>0.65</v>
      </c>
      <c r="T357" s="57">
        <f t="shared" si="138"/>
        <v>0.65</v>
      </c>
      <c r="U357" s="57">
        <f t="shared" si="138"/>
        <v>0.65</v>
      </c>
      <c r="V357" s="57">
        <f t="shared" si="138"/>
        <v>0.65</v>
      </c>
      <c r="W357" s="57">
        <f t="shared" si="138"/>
        <v>0.65</v>
      </c>
      <c r="X357" s="57">
        <f t="shared" si="138"/>
        <v>0.65</v>
      </c>
      <c r="Y357" s="57">
        <f t="shared" si="138"/>
        <v>0.65</v>
      </c>
      <c r="Z357" s="57">
        <f t="shared" si="138"/>
        <v>0.65</v>
      </c>
      <c r="AA357" s="57">
        <f t="shared" si="138"/>
        <v>0.65</v>
      </c>
      <c r="AB357" s="57">
        <f t="shared" si="138"/>
        <v>0.65</v>
      </c>
      <c r="AC357" s="57">
        <f t="shared" si="138"/>
        <v>0.65</v>
      </c>
      <c r="AD357" s="57">
        <f t="shared" si="138"/>
        <v>0.65</v>
      </c>
    </row>
    <row r="358" spans="1:30" outlineLevel="1">
      <c r="C358" s="94"/>
      <c r="D358" s="42"/>
      <c r="E358" s="42"/>
      <c r="F358" s="42"/>
      <c r="G358" s="42"/>
      <c r="H358" s="42"/>
      <c r="I358" s="42"/>
      <c r="J358" s="42"/>
      <c r="K358" s="42"/>
      <c r="L358" s="42"/>
      <c r="M358" s="42"/>
      <c r="N358" s="42"/>
      <c r="O358" s="42"/>
      <c r="P358" s="42"/>
      <c r="Q358" s="42"/>
      <c r="R358" s="42"/>
      <c r="S358" s="42"/>
      <c r="T358" s="42"/>
      <c r="U358" s="42"/>
      <c r="V358" s="42"/>
      <c r="W358" s="42"/>
      <c r="X358" s="42"/>
      <c r="Y358" s="42"/>
      <c r="Z358" s="42"/>
      <c r="AA358" s="42"/>
      <c r="AB358" s="42"/>
      <c r="AC358" s="42"/>
      <c r="AD358" s="42"/>
    </row>
    <row r="359" spans="1:30" s="25" customFormat="1" ht="37.25" customHeight="1">
      <c r="A359" s="26" t="str">
        <f>"Cashstream 2: Capital Costs - "&amp;A3</f>
        <v>Cashstream 2: Capital Costs - Mid Case</v>
      </c>
      <c r="B359" s="32" t="s">
        <v>82</v>
      </c>
      <c r="C359" s="27">
        <f>SUM(D359:AD359)</f>
        <v>1315.0800000000006</v>
      </c>
      <c r="D359" s="129">
        <f t="shared" ref="D359:AD359" si="139">D356*D357</f>
        <v>276.25</v>
      </c>
      <c r="E359" s="129">
        <f t="shared" si="139"/>
        <v>477.75</v>
      </c>
      <c r="F359" s="129">
        <f t="shared" si="139"/>
        <v>75.451999999999998</v>
      </c>
      <c r="G359" s="129">
        <f t="shared" si="139"/>
        <v>31.902000000000001</v>
      </c>
      <c r="H359" s="129">
        <f t="shared" si="139"/>
        <v>31.902000000000001</v>
      </c>
      <c r="I359" s="129">
        <f t="shared" si="139"/>
        <v>48.152000000000001</v>
      </c>
      <c r="J359" s="129">
        <f t="shared" si="139"/>
        <v>31.902000000000001</v>
      </c>
      <c r="K359" s="129">
        <f t="shared" si="139"/>
        <v>31.902000000000001</v>
      </c>
      <c r="L359" s="129">
        <f t="shared" si="139"/>
        <v>31.902000000000001</v>
      </c>
      <c r="M359" s="129">
        <f t="shared" si="139"/>
        <v>44.902000000000001</v>
      </c>
      <c r="N359" s="129">
        <f t="shared" si="139"/>
        <v>31.902000000000001</v>
      </c>
      <c r="O359" s="129">
        <f t="shared" si="139"/>
        <v>31.902000000000001</v>
      </c>
      <c r="P359" s="129">
        <f t="shared" si="139"/>
        <v>31.902000000000001</v>
      </c>
      <c r="Q359" s="129">
        <f t="shared" si="139"/>
        <v>41.652000000000001</v>
      </c>
      <c r="R359" s="129">
        <f t="shared" si="139"/>
        <v>31.902000000000001</v>
      </c>
      <c r="S359" s="129">
        <f t="shared" si="139"/>
        <v>31.902000000000001</v>
      </c>
      <c r="T359" s="129">
        <f t="shared" si="139"/>
        <v>31.902000000000001</v>
      </c>
      <c r="U359" s="129">
        <f t="shared" si="139"/>
        <v>0</v>
      </c>
      <c r="V359" s="129">
        <f t="shared" si="139"/>
        <v>0</v>
      </c>
      <c r="W359" s="129">
        <f t="shared" si="139"/>
        <v>0</v>
      </c>
      <c r="X359" s="129">
        <f t="shared" si="139"/>
        <v>0</v>
      </c>
      <c r="Y359" s="129">
        <f t="shared" si="139"/>
        <v>0</v>
      </c>
      <c r="Z359" s="129">
        <f t="shared" si="139"/>
        <v>0</v>
      </c>
      <c r="AA359" s="129">
        <f t="shared" si="139"/>
        <v>0</v>
      </c>
      <c r="AB359" s="129">
        <f t="shared" si="139"/>
        <v>0</v>
      </c>
      <c r="AC359" s="129">
        <f t="shared" si="139"/>
        <v>0</v>
      </c>
      <c r="AD359" s="129">
        <f t="shared" si="139"/>
        <v>0</v>
      </c>
    </row>
    <row r="360" spans="1:30" s="107" customFormat="1" ht="52.75" customHeight="1">
      <c r="A360" s="23" t="s">
        <v>438</v>
      </c>
      <c r="C360" s="108"/>
      <c r="D360" s="109"/>
      <c r="E360" s="109"/>
      <c r="F360" s="109"/>
      <c r="G360" s="109"/>
      <c r="H360" s="109"/>
      <c r="I360" s="109"/>
      <c r="J360" s="109"/>
      <c r="K360" s="109"/>
      <c r="L360" s="109"/>
      <c r="M360" s="109"/>
      <c r="N360" s="109"/>
      <c r="O360" s="109"/>
      <c r="P360" s="109"/>
      <c r="Q360" s="109"/>
      <c r="R360" s="109"/>
      <c r="S360" s="109"/>
      <c r="T360" s="109"/>
      <c r="U360" s="109"/>
      <c r="V360" s="109"/>
      <c r="W360" s="109"/>
      <c r="X360" s="109"/>
      <c r="Y360" s="109"/>
      <c r="Z360" s="109"/>
      <c r="AA360" s="109"/>
      <c r="AB360" s="109"/>
      <c r="AC360" s="109"/>
      <c r="AD360" s="109"/>
    </row>
    <row r="361" spans="1:30" outlineLevel="1">
      <c r="A361" s="50" t="s">
        <v>439</v>
      </c>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row>
    <row r="362" spans="1:30" outlineLevel="1">
      <c r="A362" s="265" t="s">
        <v>573</v>
      </c>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row>
    <row r="363" spans="1:30" outlineLevel="1">
      <c r="A363" s="265" t="s">
        <v>574</v>
      </c>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row>
    <row r="364" spans="1:30" outlineLevel="1">
      <c r="A364" s="265" t="s">
        <v>575</v>
      </c>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c r="AC364" s="15"/>
      <c r="AD364" s="15"/>
    </row>
    <row r="365" spans="1:30" outlineLevel="1">
      <c r="A365" s="265" t="s">
        <v>576</v>
      </c>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row>
    <row r="366" spans="1:30" outlineLevel="1">
      <c r="A366" s="265" t="s">
        <v>577</v>
      </c>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row>
    <row r="367" spans="1:30" outlineLevel="1">
      <c r="A367" s="50" t="s">
        <v>467</v>
      </c>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row>
    <row r="368" spans="1:30" outlineLevel="1">
      <c r="A368" s="267" t="s">
        <v>578</v>
      </c>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row>
    <row r="369" spans="1:30" outlineLevel="1">
      <c r="A369" s="267" t="s">
        <v>579</v>
      </c>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row>
    <row r="370" spans="1:30" outlineLevel="1">
      <c r="A370" s="49" t="s">
        <v>291</v>
      </c>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row>
    <row r="371" spans="1:30" s="270" customFormat="1" ht="15" customHeight="1" outlineLevel="1">
      <c r="A371" s="134" t="s">
        <v>552</v>
      </c>
      <c r="B371" s="268"/>
      <c r="C371" s="269"/>
      <c r="D371" s="269"/>
      <c r="E371" s="269"/>
      <c r="F371" s="269"/>
      <c r="G371" s="269"/>
      <c r="H371" s="269"/>
      <c r="I371" s="269"/>
      <c r="J371" s="269"/>
      <c r="K371" s="269"/>
      <c r="L371" s="269"/>
      <c r="M371" s="269"/>
      <c r="N371" s="269"/>
      <c r="O371" s="269"/>
      <c r="P371" s="269"/>
      <c r="Q371" s="269"/>
      <c r="R371" s="269"/>
      <c r="S371" s="269"/>
      <c r="T371" s="269"/>
      <c r="U371" s="269"/>
      <c r="V371" s="269"/>
      <c r="W371" s="269"/>
      <c r="X371" s="269"/>
    </row>
    <row r="372" spans="1:30" s="104" customFormat="1" ht="13.5" outlineLevel="1" thickBot="1">
      <c r="A372" s="272" t="s">
        <v>289</v>
      </c>
      <c r="B372" s="272" t="s">
        <v>125</v>
      </c>
      <c r="C372" s="273"/>
      <c r="D372" s="274">
        <v>0.02</v>
      </c>
      <c r="E372" s="274">
        <f t="shared" ref="E372:AD372" si="140">D372</f>
        <v>0.02</v>
      </c>
      <c r="F372" s="274">
        <f t="shared" si="140"/>
        <v>0.02</v>
      </c>
      <c r="G372" s="274">
        <f t="shared" si="140"/>
        <v>0.02</v>
      </c>
      <c r="H372" s="274">
        <f t="shared" si="140"/>
        <v>0.02</v>
      </c>
      <c r="I372" s="274">
        <f t="shared" si="140"/>
        <v>0.02</v>
      </c>
      <c r="J372" s="274">
        <f t="shared" si="140"/>
        <v>0.02</v>
      </c>
      <c r="K372" s="274">
        <f t="shared" si="140"/>
        <v>0.02</v>
      </c>
      <c r="L372" s="274">
        <f t="shared" si="140"/>
        <v>0.02</v>
      </c>
      <c r="M372" s="274">
        <f t="shared" si="140"/>
        <v>0.02</v>
      </c>
      <c r="N372" s="274">
        <f t="shared" si="140"/>
        <v>0.02</v>
      </c>
      <c r="O372" s="274">
        <f t="shared" si="140"/>
        <v>0.02</v>
      </c>
      <c r="P372" s="274">
        <f t="shared" si="140"/>
        <v>0.02</v>
      </c>
      <c r="Q372" s="274">
        <f t="shared" si="140"/>
        <v>0.02</v>
      </c>
      <c r="R372" s="274">
        <f t="shared" si="140"/>
        <v>0.02</v>
      </c>
      <c r="S372" s="274">
        <f t="shared" si="140"/>
        <v>0.02</v>
      </c>
      <c r="T372" s="274">
        <f t="shared" si="140"/>
        <v>0.02</v>
      </c>
      <c r="U372" s="274">
        <f t="shared" si="140"/>
        <v>0.02</v>
      </c>
      <c r="V372" s="274">
        <f t="shared" si="140"/>
        <v>0.02</v>
      </c>
      <c r="W372" s="274">
        <f t="shared" si="140"/>
        <v>0.02</v>
      </c>
      <c r="X372" s="274">
        <f t="shared" si="140"/>
        <v>0.02</v>
      </c>
      <c r="Y372" s="274">
        <f t="shared" si="140"/>
        <v>0.02</v>
      </c>
      <c r="Z372" s="274">
        <f t="shared" si="140"/>
        <v>0.02</v>
      </c>
      <c r="AA372" s="274">
        <f t="shared" si="140"/>
        <v>0.02</v>
      </c>
      <c r="AB372" s="274">
        <f t="shared" si="140"/>
        <v>0.02</v>
      </c>
      <c r="AC372" s="274">
        <f t="shared" si="140"/>
        <v>0.02</v>
      </c>
      <c r="AD372" s="274">
        <f t="shared" si="140"/>
        <v>0.02</v>
      </c>
    </row>
    <row r="373" spans="1:30" s="45" customFormat="1" ht="13.5" outlineLevel="1" thickBot="1">
      <c r="A373" s="45" t="s">
        <v>291</v>
      </c>
      <c r="B373" s="13" t="s">
        <v>83</v>
      </c>
      <c r="C373" s="42"/>
      <c r="D373" s="165">
        <f>(1+D372)^0.5</f>
        <v>1.0099504938362078</v>
      </c>
      <c r="E373" s="57">
        <f t="shared" ref="E373:AD373" si="141">D373*(1+E372)</f>
        <v>1.030149503712932</v>
      </c>
      <c r="F373" s="57">
        <f t="shared" si="141"/>
        <v>1.0507524937871906</v>
      </c>
      <c r="G373" s="57">
        <f t="shared" si="141"/>
        <v>1.0717675436629344</v>
      </c>
      <c r="H373" s="57">
        <f t="shared" si="141"/>
        <v>1.0932028945361931</v>
      </c>
      <c r="I373" s="57">
        <f t="shared" si="141"/>
        <v>1.115066952426917</v>
      </c>
      <c r="J373" s="57">
        <f t="shared" si="141"/>
        <v>1.1373682914754553</v>
      </c>
      <c r="K373" s="57">
        <f t="shared" si="141"/>
        <v>1.1601156573049645</v>
      </c>
      <c r="L373" s="57">
        <f t="shared" si="141"/>
        <v>1.1833179704510637</v>
      </c>
      <c r="M373" s="57">
        <f t="shared" si="141"/>
        <v>1.2069843298600851</v>
      </c>
      <c r="N373" s="57">
        <f t="shared" si="141"/>
        <v>1.2311240164572868</v>
      </c>
      <c r="O373" s="57">
        <f t="shared" si="141"/>
        <v>1.2557464967864325</v>
      </c>
      <c r="P373" s="57">
        <f t="shared" si="141"/>
        <v>1.2808614267221612</v>
      </c>
      <c r="Q373" s="57">
        <f t="shared" si="141"/>
        <v>1.3064786552566043</v>
      </c>
      <c r="R373" s="57">
        <f t="shared" si="141"/>
        <v>1.3326082283617364</v>
      </c>
      <c r="S373" s="57">
        <f t="shared" si="141"/>
        <v>1.3592603929289713</v>
      </c>
      <c r="T373" s="57">
        <f t="shared" si="141"/>
        <v>1.3864456007875507</v>
      </c>
      <c r="U373" s="57">
        <f t="shared" si="141"/>
        <v>1.4141745128033019</v>
      </c>
      <c r="V373" s="57">
        <f t="shared" si="141"/>
        <v>1.4424580030593679</v>
      </c>
      <c r="W373" s="57">
        <f t="shared" si="141"/>
        <v>1.4713071631205552</v>
      </c>
      <c r="X373" s="57">
        <f t="shared" si="141"/>
        <v>1.5007333063829664</v>
      </c>
      <c r="Y373" s="57">
        <f t="shared" si="141"/>
        <v>1.5307479725106259</v>
      </c>
      <c r="Z373" s="57">
        <f t="shared" si="141"/>
        <v>1.5613629319608384</v>
      </c>
      <c r="AA373" s="57">
        <f t="shared" si="141"/>
        <v>1.5925901906000552</v>
      </c>
      <c r="AB373" s="57">
        <f t="shared" si="141"/>
        <v>1.6244419944120563</v>
      </c>
      <c r="AC373" s="57">
        <f t="shared" si="141"/>
        <v>1.6569308343002975</v>
      </c>
      <c r="AD373" s="57">
        <f t="shared" si="141"/>
        <v>1.6900694509863035</v>
      </c>
    </row>
    <row r="374" spans="1:30" s="16" customFormat="1" ht="15.5" outlineLevel="1">
      <c r="A374" s="49" t="s">
        <v>464</v>
      </c>
      <c r="B374" s="8"/>
      <c r="C374" s="19"/>
      <c r="D374" s="164"/>
      <c r="E374" s="20"/>
      <c r="F374" s="20"/>
      <c r="G374" s="20"/>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row>
    <row r="375" spans="1:30" outlineLevel="1">
      <c r="A375" s="271" t="s">
        <v>582</v>
      </c>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row>
    <row r="376" spans="1:30" outlineLevel="1">
      <c r="A376" s="45" t="str">
        <f>A338</f>
        <v>Prestrip</v>
      </c>
      <c r="B376" s="45" t="str">
        <f>B338</f>
        <v>A$ million Real</v>
      </c>
      <c r="C376" s="42">
        <f>SUM(D376:AD376)</f>
        <v>40</v>
      </c>
      <c r="D376" s="42">
        <f t="shared" ref="D376:AD376" si="142">D338</f>
        <v>10</v>
      </c>
      <c r="E376" s="42">
        <f t="shared" si="142"/>
        <v>30</v>
      </c>
      <c r="F376" s="42">
        <f t="shared" si="142"/>
        <v>0</v>
      </c>
      <c r="G376" s="42">
        <f t="shared" si="142"/>
        <v>0</v>
      </c>
      <c r="H376" s="42">
        <f t="shared" si="142"/>
        <v>0</v>
      </c>
      <c r="I376" s="42">
        <f t="shared" si="142"/>
        <v>0</v>
      </c>
      <c r="J376" s="42">
        <f t="shared" si="142"/>
        <v>0</v>
      </c>
      <c r="K376" s="42">
        <f t="shared" si="142"/>
        <v>0</v>
      </c>
      <c r="L376" s="42">
        <f t="shared" si="142"/>
        <v>0</v>
      </c>
      <c r="M376" s="42">
        <f t="shared" si="142"/>
        <v>0</v>
      </c>
      <c r="N376" s="42">
        <f t="shared" si="142"/>
        <v>0</v>
      </c>
      <c r="O376" s="42">
        <f t="shared" si="142"/>
        <v>0</v>
      </c>
      <c r="P376" s="42">
        <f t="shared" si="142"/>
        <v>0</v>
      </c>
      <c r="Q376" s="42">
        <f t="shared" si="142"/>
        <v>0</v>
      </c>
      <c r="R376" s="42">
        <f t="shared" si="142"/>
        <v>0</v>
      </c>
      <c r="S376" s="42">
        <f t="shared" si="142"/>
        <v>0</v>
      </c>
      <c r="T376" s="42">
        <f t="shared" si="142"/>
        <v>0</v>
      </c>
      <c r="U376" s="42">
        <f t="shared" si="142"/>
        <v>0</v>
      </c>
      <c r="V376" s="42">
        <f t="shared" si="142"/>
        <v>0</v>
      </c>
      <c r="W376" s="42">
        <f t="shared" si="142"/>
        <v>0</v>
      </c>
      <c r="X376" s="42">
        <f t="shared" si="142"/>
        <v>0</v>
      </c>
      <c r="Y376" s="42">
        <f t="shared" si="142"/>
        <v>0</v>
      </c>
      <c r="Z376" s="42">
        <f t="shared" si="142"/>
        <v>0</v>
      </c>
      <c r="AA376" s="42">
        <f t="shared" si="142"/>
        <v>0</v>
      </c>
      <c r="AB376" s="42">
        <f t="shared" si="142"/>
        <v>0</v>
      </c>
      <c r="AC376" s="42">
        <f t="shared" si="142"/>
        <v>0</v>
      </c>
      <c r="AD376" s="42">
        <f t="shared" si="142"/>
        <v>0</v>
      </c>
    </row>
    <row r="377" spans="1:30" s="104" customFormat="1" outlineLevel="1">
      <c r="A377" s="104" t="str">
        <f>A376</f>
        <v>Prestrip</v>
      </c>
      <c r="B377" s="104" t="s">
        <v>290</v>
      </c>
      <c r="C377" s="105">
        <f>SUM(D377:AD377)</f>
        <v>41.003990049750037</v>
      </c>
      <c r="D377" s="105">
        <f>D376*D$373</f>
        <v>10.099504938362077</v>
      </c>
      <c r="E377" s="105">
        <f t="shared" ref="E377:AD377" si="143">E376*E$373</f>
        <v>30.90448511138796</v>
      </c>
      <c r="F377" s="105">
        <f t="shared" si="143"/>
        <v>0</v>
      </c>
      <c r="G377" s="105">
        <f t="shared" si="143"/>
        <v>0</v>
      </c>
      <c r="H377" s="105">
        <f t="shared" si="143"/>
        <v>0</v>
      </c>
      <c r="I377" s="105">
        <f t="shared" si="143"/>
        <v>0</v>
      </c>
      <c r="J377" s="105">
        <f t="shared" si="143"/>
        <v>0</v>
      </c>
      <c r="K377" s="105">
        <f t="shared" si="143"/>
        <v>0</v>
      </c>
      <c r="L377" s="105">
        <f t="shared" si="143"/>
        <v>0</v>
      </c>
      <c r="M377" s="105">
        <f t="shared" si="143"/>
        <v>0</v>
      </c>
      <c r="N377" s="105">
        <f t="shared" si="143"/>
        <v>0</v>
      </c>
      <c r="O377" s="105">
        <f t="shared" si="143"/>
        <v>0</v>
      </c>
      <c r="P377" s="105">
        <f t="shared" si="143"/>
        <v>0</v>
      </c>
      <c r="Q377" s="105">
        <f t="shared" si="143"/>
        <v>0</v>
      </c>
      <c r="R377" s="105">
        <f t="shared" si="143"/>
        <v>0</v>
      </c>
      <c r="S377" s="105">
        <f t="shared" si="143"/>
        <v>0</v>
      </c>
      <c r="T377" s="105">
        <f t="shared" si="143"/>
        <v>0</v>
      </c>
      <c r="U377" s="105">
        <f t="shared" si="143"/>
        <v>0</v>
      </c>
      <c r="V377" s="105">
        <f t="shared" si="143"/>
        <v>0</v>
      </c>
      <c r="W377" s="105">
        <f t="shared" si="143"/>
        <v>0</v>
      </c>
      <c r="X377" s="105">
        <f t="shared" si="143"/>
        <v>0</v>
      </c>
      <c r="Y377" s="105">
        <f t="shared" si="143"/>
        <v>0</v>
      </c>
      <c r="Z377" s="105">
        <f t="shared" si="143"/>
        <v>0</v>
      </c>
      <c r="AA377" s="105">
        <f t="shared" si="143"/>
        <v>0</v>
      </c>
      <c r="AB377" s="105">
        <f t="shared" si="143"/>
        <v>0</v>
      </c>
      <c r="AC377" s="105">
        <f t="shared" si="143"/>
        <v>0</v>
      </c>
      <c r="AD377" s="105">
        <f t="shared" si="143"/>
        <v>0</v>
      </c>
    </row>
    <row r="378" spans="1:30" s="104" customFormat="1" ht="12.65" customHeight="1" outlineLevel="1">
      <c r="A378" s="104" t="s">
        <v>441</v>
      </c>
      <c r="B378" s="104" t="str">
        <f>B377</f>
        <v>A$ millions NOMINAL</v>
      </c>
      <c r="C378" s="105">
        <f>SUM(D378:AD378)</f>
        <v>41.003990049750037</v>
      </c>
      <c r="D378" s="105">
        <f>D377</f>
        <v>10.099504938362077</v>
      </c>
      <c r="E378" s="105">
        <f t="shared" ref="E378:AD378" si="144">E377</f>
        <v>30.90448511138796</v>
      </c>
      <c r="F378" s="105">
        <f t="shared" si="144"/>
        <v>0</v>
      </c>
      <c r="G378" s="105">
        <f t="shared" si="144"/>
        <v>0</v>
      </c>
      <c r="H378" s="105">
        <f t="shared" si="144"/>
        <v>0</v>
      </c>
      <c r="I378" s="105">
        <f t="shared" si="144"/>
        <v>0</v>
      </c>
      <c r="J378" s="105">
        <f t="shared" si="144"/>
        <v>0</v>
      </c>
      <c r="K378" s="105">
        <f t="shared" si="144"/>
        <v>0</v>
      </c>
      <c r="L378" s="105">
        <f t="shared" si="144"/>
        <v>0</v>
      </c>
      <c r="M378" s="105">
        <f t="shared" si="144"/>
        <v>0</v>
      </c>
      <c r="N378" s="105">
        <f t="shared" si="144"/>
        <v>0</v>
      </c>
      <c r="O378" s="105">
        <f t="shared" si="144"/>
        <v>0</v>
      </c>
      <c r="P378" s="105">
        <f t="shared" si="144"/>
        <v>0</v>
      </c>
      <c r="Q378" s="105">
        <f t="shared" si="144"/>
        <v>0</v>
      </c>
      <c r="R378" s="105">
        <f t="shared" si="144"/>
        <v>0</v>
      </c>
      <c r="S378" s="105">
        <f t="shared" si="144"/>
        <v>0</v>
      </c>
      <c r="T378" s="105">
        <f t="shared" si="144"/>
        <v>0</v>
      </c>
      <c r="U378" s="105">
        <f t="shared" si="144"/>
        <v>0</v>
      </c>
      <c r="V378" s="105">
        <f t="shared" si="144"/>
        <v>0</v>
      </c>
      <c r="W378" s="105">
        <f t="shared" si="144"/>
        <v>0</v>
      </c>
      <c r="X378" s="105">
        <f t="shared" si="144"/>
        <v>0</v>
      </c>
      <c r="Y378" s="105">
        <f t="shared" si="144"/>
        <v>0</v>
      </c>
      <c r="Z378" s="105">
        <f t="shared" si="144"/>
        <v>0</v>
      </c>
      <c r="AA378" s="105">
        <f t="shared" si="144"/>
        <v>0</v>
      </c>
      <c r="AB378" s="105">
        <f t="shared" si="144"/>
        <v>0</v>
      </c>
      <c r="AC378" s="105">
        <f t="shared" si="144"/>
        <v>0</v>
      </c>
      <c r="AD378" s="105">
        <f t="shared" si="144"/>
        <v>0</v>
      </c>
    </row>
    <row r="379" spans="1:30" outlineLevel="1">
      <c r="C379" s="42"/>
      <c r="D379" s="42"/>
      <c r="E379" s="42"/>
      <c r="F379" s="42"/>
      <c r="G379" s="42"/>
      <c r="H379" s="42"/>
      <c r="I379" s="42"/>
      <c r="J379" s="42"/>
      <c r="K379" s="42"/>
      <c r="L379" s="42"/>
      <c r="M379" s="42"/>
      <c r="N379" s="42"/>
      <c r="O379" s="42"/>
      <c r="P379" s="42"/>
      <c r="Q379" s="42"/>
      <c r="R379" s="42"/>
      <c r="S379" s="42"/>
      <c r="T379" s="42"/>
      <c r="U379" s="42"/>
      <c r="V379" s="42"/>
      <c r="W379" s="42"/>
      <c r="X379" s="42"/>
      <c r="Y379" s="42"/>
      <c r="Z379" s="42"/>
      <c r="AA379" s="42"/>
      <c r="AB379" s="42"/>
      <c r="AC379" s="42"/>
      <c r="AD379" s="42"/>
    </row>
    <row r="380" spans="1:30" outlineLevel="1">
      <c r="A380" s="49" t="s">
        <v>465</v>
      </c>
      <c r="C380" s="42"/>
      <c r="D380" s="42"/>
      <c r="E380" s="42"/>
      <c r="F380" s="42"/>
      <c r="G380" s="42"/>
      <c r="H380" s="42"/>
      <c r="I380" s="42"/>
      <c r="J380" s="42"/>
      <c r="K380" s="42"/>
      <c r="L380" s="42"/>
      <c r="M380" s="42"/>
      <c r="N380" s="42"/>
      <c r="O380" s="42"/>
      <c r="P380" s="42"/>
      <c r="Q380" s="42"/>
      <c r="R380" s="42"/>
      <c r="S380" s="42"/>
      <c r="T380" s="42"/>
      <c r="U380" s="42"/>
      <c r="V380" s="42"/>
      <c r="W380" s="42"/>
      <c r="X380" s="42"/>
      <c r="Y380" s="42"/>
      <c r="Z380" s="42"/>
      <c r="AA380" s="42"/>
      <c r="AB380" s="42"/>
      <c r="AC380" s="42"/>
      <c r="AD380" s="42"/>
    </row>
    <row r="381" spans="1:30" outlineLevel="1">
      <c r="A381" s="271" t="s">
        <v>553</v>
      </c>
      <c r="C381" s="42"/>
      <c r="D381" s="42"/>
      <c r="E381" s="42"/>
      <c r="F381" s="42"/>
      <c r="G381" s="42"/>
      <c r="H381" s="42"/>
      <c r="I381" s="42"/>
      <c r="J381" s="42"/>
      <c r="K381" s="42"/>
      <c r="L381" s="42"/>
      <c r="M381" s="42"/>
      <c r="N381" s="42"/>
      <c r="O381" s="42"/>
      <c r="P381" s="42"/>
      <c r="Q381" s="42"/>
      <c r="R381" s="42"/>
      <c r="S381" s="42"/>
      <c r="T381" s="42"/>
      <c r="U381" s="42"/>
      <c r="V381" s="42"/>
      <c r="W381" s="42"/>
      <c r="X381" s="42"/>
      <c r="Y381" s="42"/>
      <c r="Z381" s="42"/>
      <c r="AA381" s="42"/>
      <c r="AB381" s="42"/>
      <c r="AC381" s="42"/>
      <c r="AD381" s="42"/>
    </row>
    <row r="382" spans="1:30" outlineLevel="1">
      <c r="A382" s="45" t="str">
        <f>A339</f>
        <v>Mine</v>
      </c>
      <c r="B382" s="45" t="str">
        <f>B339</f>
        <v>A$ million Real</v>
      </c>
      <c r="C382" s="42">
        <f>SUM(D382:AD382)</f>
        <v>190</v>
      </c>
      <c r="D382" s="42">
        <f t="shared" ref="D382:AD382" si="145">D339</f>
        <v>100</v>
      </c>
      <c r="E382" s="42">
        <f t="shared" si="145"/>
        <v>80</v>
      </c>
      <c r="F382" s="42">
        <f t="shared" si="145"/>
        <v>10</v>
      </c>
      <c r="G382" s="42">
        <f t="shared" si="145"/>
        <v>0</v>
      </c>
      <c r="H382" s="42">
        <f t="shared" si="145"/>
        <v>0</v>
      </c>
      <c r="I382" s="42">
        <f t="shared" si="145"/>
        <v>0</v>
      </c>
      <c r="J382" s="42">
        <f t="shared" si="145"/>
        <v>0</v>
      </c>
      <c r="K382" s="42">
        <f t="shared" si="145"/>
        <v>0</v>
      </c>
      <c r="L382" s="42">
        <f t="shared" si="145"/>
        <v>0</v>
      </c>
      <c r="M382" s="42">
        <f t="shared" si="145"/>
        <v>0</v>
      </c>
      <c r="N382" s="42">
        <f t="shared" si="145"/>
        <v>0</v>
      </c>
      <c r="O382" s="42">
        <f t="shared" si="145"/>
        <v>0</v>
      </c>
      <c r="P382" s="42">
        <f t="shared" si="145"/>
        <v>0</v>
      </c>
      <c r="Q382" s="42">
        <f t="shared" si="145"/>
        <v>0</v>
      </c>
      <c r="R382" s="42">
        <f t="shared" si="145"/>
        <v>0</v>
      </c>
      <c r="S382" s="42">
        <f t="shared" si="145"/>
        <v>0</v>
      </c>
      <c r="T382" s="42">
        <f t="shared" si="145"/>
        <v>0</v>
      </c>
      <c r="U382" s="42">
        <f t="shared" si="145"/>
        <v>0</v>
      </c>
      <c r="V382" s="42">
        <f t="shared" si="145"/>
        <v>0</v>
      </c>
      <c r="W382" s="42">
        <f t="shared" si="145"/>
        <v>0</v>
      </c>
      <c r="X382" s="42">
        <f t="shared" si="145"/>
        <v>0</v>
      </c>
      <c r="Y382" s="42">
        <f t="shared" si="145"/>
        <v>0</v>
      </c>
      <c r="Z382" s="42">
        <f t="shared" si="145"/>
        <v>0</v>
      </c>
      <c r="AA382" s="42">
        <f t="shared" si="145"/>
        <v>0</v>
      </c>
      <c r="AB382" s="42">
        <f t="shared" si="145"/>
        <v>0</v>
      </c>
      <c r="AC382" s="42">
        <f t="shared" si="145"/>
        <v>0</v>
      </c>
      <c r="AD382" s="42">
        <f t="shared" si="145"/>
        <v>0</v>
      </c>
    </row>
    <row r="383" spans="1:30" outlineLevel="1">
      <c r="A383" s="45" t="str">
        <f>A340</f>
        <v>Mineral Processing Plant</v>
      </c>
      <c r="B383" s="45" t="str">
        <f>B340</f>
        <v>A$ million Real</v>
      </c>
      <c r="C383" s="42">
        <f>SUM(D383:AD383)</f>
        <v>620</v>
      </c>
      <c r="D383" s="42">
        <f t="shared" ref="D383:AD383" si="146">D340</f>
        <v>200</v>
      </c>
      <c r="E383" s="42">
        <f t="shared" si="146"/>
        <v>400</v>
      </c>
      <c r="F383" s="42">
        <f t="shared" si="146"/>
        <v>20</v>
      </c>
      <c r="G383" s="42">
        <f t="shared" si="146"/>
        <v>0</v>
      </c>
      <c r="H383" s="42">
        <f t="shared" si="146"/>
        <v>0</v>
      </c>
      <c r="I383" s="42">
        <f t="shared" si="146"/>
        <v>0</v>
      </c>
      <c r="J383" s="42">
        <f t="shared" si="146"/>
        <v>0</v>
      </c>
      <c r="K383" s="42">
        <f t="shared" si="146"/>
        <v>0</v>
      </c>
      <c r="L383" s="42">
        <f t="shared" si="146"/>
        <v>0</v>
      </c>
      <c r="M383" s="42">
        <f t="shared" si="146"/>
        <v>0</v>
      </c>
      <c r="N383" s="42">
        <f t="shared" si="146"/>
        <v>0</v>
      </c>
      <c r="O383" s="42">
        <f t="shared" si="146"/>
        <v>0</v>
      </c>
      <c r="P383" s="42">
        <f t="shared" si="146"/>
        <v>0</v>
      </c>
      <c r="Q383" s="42">
        <f t="shared" si="146"/>
        <v>0</v>
      </c>
      <c r="R383" s="42">
        <f t="shared" si="146"/>
        <v>0</v>
      </c>
      <c r="S383" s="42">
        <f t="shared" si="146"/>
        <v>0</v>
      </c>
      <c r="T383" s="42">
        <f t="shared" si="146"/>
        <v>0</v>
      </c>
      <c r="U383" s="42">
        <f t="shared" si="146"/>
        <v>0</v>
      </c>
      <c r="V383" s="42">
        <f t="shared" si="146"/>
        <v>0</v>
      </c>
      <c r="W383" s="42">
        <f t="shared" si="146"/>
        <v>0</v>
      </c>
      <c r="X383" s="42">
        <f t="shared" si="146"/>
        <v>0</v>
      </c>
      <c r="Y383" s="42">
        <f t="shared" si="146"/>
        <v>0</v>
      </c>
      <c r="Z383" s="42">
        <f t="shared" si="146"/>
        <v>0</v>
      </c>
      <c r="AA383" s="42">
        <f t="shared" si="146"/>
        <v>0</v>
      </c>
      <c r="AB383" s="42">
        <f t="shared" si="146"/>
        <v>0</v>
      </c>
      <c r="AC383" s="42">
        <f t="shared" si="146"/>
        <v>0</v>
      </c>
      <c r="AD383" s="42">
        <f t="shared" si="146"/>
        <v>0</v>
      </c>
    </row>
    <row r="384" spans="1:30" outlineLevel="1">
      <c r="A384" s="45" t="s">
        <v>442</v>
      </c>
      <c r="B384" s="45" t="s">
        <v>285</v>
      </c>
      <c r="C384" s="42">
        <f>SUM(D384:AD384)</f>
        <v>810</v>
      </c>
      <c r="D384" s="70">
        <f>SUM(D382:D383)</f>
        <v>300</v>
      </c>
      <c r="E384" s="70">
        <f t="shared" ref="E384:AD384" si="147">SUM(E382:E383)</f>
        <v>480</v>
      </c>
      <c r="F384" s="70">
        <f t="shared" si="147"/>
        <v>30</v>
      </c>
      <c r="G384" s="70">
        <f t="shared" si="147"/>
        <v>0</v>
      </c>
      <c r="H384" s="70">
        <f t="shared" si="147"/>
        <v>0</v>
      </c>
      <c r="I384" s="70">
        <f t="shared" si="147"/>
        <v>0</v>
      </c>
      <c r="J384" s="70">
        <f t="shared" si="147"/>
        <v>0</v>
      </c>
      <c r="K384" s="70">
        <f t="shared" si="147"/>
        <v>0</v>
      </c>
      <c r="L384" s="70">
        <f t="shared" si="147"/>
        <v>0</v>
      </c>
      <c r="M384" s="70">
        <f t="shared" si="147"/>
        <v>0</v>
      </c>
      <c r="N384" s="70">
        <f t="shared" si="147"/>
        <v>0</v>
      </c>
      <c r="O384" s="70">
        <f t="shared" si="147"/>
        <v>0</v>
      </c>
      <c r="P384" s="70">
        <f t="shared" si="147"/>
        <v>0</v>
      </c>
      <c r="Q384" s="70">
        <f t="shared" si="147"/>
        <v>0</v>
      </c>
      <c r="R384" s="70">
        <f t="shared" si="147"/>
        <v>0</v>
      </c>
      <c r="S384" s="70">
        <f t="shared" si="147"/>
        <v>0</v>
      </c>
      <c r="T384" s="70">
        <f t="shared" si="147"/>
        <v>0</v>
      </c>
      <c r="U384" s="70">
        <f t="shared" si="147"/>
        <v>0</v>
      </c>
      <c r="V384" s="70">
        <f t="shared" si="147"/>
        <v>0</v>
      </c>
      <c r="W384" s="70">
        <f t="shared" si="147"/>
        <v>0</v>
      </c>
      <c r="X384" s="70">
        <f t="shared" si="147"/>
        <v>0</v>
      </c>
      <c r="Y384" s="70">
        <f t="shared" si="147"/>
        <v>0</v>
      </c>
      <c r="Z384" s="70">
        <f t="shared" si="147"/>
        <v>0</v>
      </c>
      <c r="AA384" s="70">
        <f t="shared" si="147"/>
        <v>0</v>
      </c>
      <c r="AB384" s="70">
        <f t="shared" si="147"/>
        <v>0</v>
      </c>
      <c r="AC384" s="70">
        <f t="shared" si="147"/>
        <v>0</v>
      </c>
      <c r="AD384" s="70">
        <f t="shared" si="147"/>
        <v>0</v>
      </c>
    </row>
    <row r="385" spans="1:30" s="104" customFormat="1" outlineLevel="1">
      <c r="A385" s="104" t="str">
        <f>A384</f>
        <v>Mine &amp; Mineral Processing</v>
      </c>
      <c r="B385" s="104" t="s">
        <v>290</v>
      </c>
      <c r="C385" s="105">
        <f>SUM(D385:AD385)</f>
        <v>828.97948474668544</v>
      </c>
      <c r="D385" s="105">
        <f>D384*D$373</f>
        <v>302.98514815086236</v>
      </c>
      <c r="E385" s="105">
        <f t="shared" ref="E385" si="148">E384*E$373</f>
        <v>494.47176178220735</v>
      </c>
      <c r="F385" s="105">
        <f t="shared" ref="F385" si="149">F384*F$373</f>
        <v>31.522574813615719</v>
      </c>
      <c r="G385" s="105">
        <f t="shared" ref="G385" si="150">G384*G$373</f>
        <v>0</v>
      </c>
      <c r="H385" s="105">
        <f t="shared" ref="H385" si="151">H384*H$373</f>
        <v>0</v>
      </c>
      <c r="I385" s="105">
        <f t="shared" ref="I385" si="152">I384*I$373</f>
        <v>0</v>
      </c>
      <c r="J385" s="105">
        <f t="shared" ref="J385" si="153">J384*J$373</f>
        <v>0</v>
      </c>
      <c r="K385" s="105">
        <f t="shared" ref="K385" si="154">K384*K$373</f>
        <v>0</v>
      </c>
      <c r="L385" s="105">
        <f t="shared" ref="L385" si="155">L384*L$373</f>
        <v>0</v>
      </c>
      <c r="M385" s="105">
        <f t="shared" ref="M385" si="156">M384*M$373</f>
        <v>0</v>
      </c>
      <c r="N385" s="105">
        <f t="shared" ref="N385" si="157">N384*N$373</f>
        <v>0</v>
      </c>
      <c r="O385" s="105">
        <f t="shared" ref="O385" si="158">O384*O$373</f>
        <v>0</v>
      </c>
      <c r="P385" s="105">
        <f t="shared" ref="P385" si="159">P384*P$373</f>
        <v>0</v>
      </c>
      <c r="Q385" s="105">
        <f t="shared" ref="Q385" si="160">Q384*Q$373</f>
        <v>0</v>
      </c>
      <c r="R385" s="105">
        <f t="shared" ref="R385" si="161">R384*R$373</f>
        <v>0</v>
      </c>
      <c r="S385" s="105">
        <f t="shared" ref="S385" si="162">S384*S$373</f>
        <v>0</v>
      </c>
      <c r="T385" s="105">
        <f t="shared" ref="T385" si="163">T384*T$373</f>
        <v>0</v>
      </c>
      <c r="U385" s="105">
        <f t="shared" ref="U385" si="164">U384*U$373</f>
        <v>0</v>
      </c>
      <c r="V385" s="105">
        <f t="shared" ref="V385" si="165">V384*V$373</f>
        <v>0</v>
      </c>
      <c r="W385" s="105">
        <f t="shared" ref="W385" si="166">W384*W$373</f>
        <v>0</v>
      </c>
      <c r="X385" s="105">
        <f t="shared" ref="X385" si="167">X384*X$373</f>
        <v>0</v>
      </c>
      <c r="Y385" s="105">
        <f t="shared" ref="Y385" si="168">Y384*Y$373</f>
        <v>0</v>
      </c>
      <c r="Z385" s="105">
        <f t="shared" ref="Z385" si="169">Z384*Z$373</f>
        <v>0</v>
      </c>
      <c r="AA385" s="105">
        <f t="shared" ref="AA385" si="170">AA384*AA$373</f>
        <v>0</v>
      </c>
      <c r="AB385" s="105">
        <f t="shared" ref="AB385" si="171">AB384*AB$373</f>
        <v>0</v>
      </c>
      <c r="AC385" s="105">
        <f t="shared" ref="AC385" si="172">AC384*AC$373</f>
        <v>0</v>
      </c>
      <c r="AD385" s="105">
        <f t="shared" ref="AD385" si="173">AD384*AD$373</f>
        <v>0</v>
      </c>
    </row>
    <row r="386" spans="1:30" ht="14.5" outlineLevel="1">
      <c r="A386" s="276" t="s">
        <v>443</v>
      </c>
      <c r="B386" s="276" t="s">
        <v>27</v>
      </c>
      <c r="C386" s="275">
        <f>18%*2</f>
        <v>0.36</v>
      </c>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row>
    <row r="387" spans="1:30" ht="13.5" outlineLevel="1" thickBot="1">
      <c r="A387" s="134" t="s">
        <v>554</v>
      </c>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c r="AD387" s="15"/>
    </row>
    <row r="388" spans="1:30" s="104" customFormat="1" ht="16" outlineLevel="1" thickBot="1">
      <c r="A388" s="104" t="s">
        <v>445</v>
      </c>
      <c r="B388" s="104" t="s">
        <v>290</v>
      </c>
      <c r="C388" s="105"/>
      <c r="D388" s="278">
        <v>3</v>
      </c>
      <c r="E388" s="105">
        <f t="shared" ref="E388" si="174">D390-D391</f>
        <v>305.98514815086236</v>
      </c>
      <c r="F388" s="105">
        <f>E390-E391</f>
        <v>800.45690993306971</v>
      </c>
      <c r="G388" s="105">
        <f t="shared" ref="G388" si="175">F390-F391</f>
        <v>532.46687023787877</v>
      </c>
      <c r="H388" s="105">
        <f t="shared" ref="H388" si="176">G390-G391</f>
        <v>340.77879695224243</v>
      </c>
      <c r="I388" s="105">
        <f t="shared" ref="I388" si="177">H390-H391</f>
        <v>218.09843004943517</v>
      </c>
      <c r="J388" s="105">
        <f t="shared" ref="J388" si="178">I390-I391</f>
        <v>139.58299523163851</v>
      </c>
      <c r="K388" s="105">
        <f t="shared" ref="K388" si="179">J390-J391</f>
        <v>89.333116948248644</v>
      </c>
      <c r="L388" s="105">
        <f t="shared" ref="L388" si="180">K390-K391</f>
        <v>57.173194846879134</v>
      </c>
      <c r="M388" s="105">
        <f t="shared" ref="M388" si="181">L390-L391</f>
        <v>36.590844702002641</v>
      </c>
      <c r="N388" s="105">
        <f t="shared" ref="N388" si="182">M390-M391</f>
        <v>23.418140609281693</v>
      </c>
      <c r="O388" s="105">
        <f t="shared" ref="O388" si="183">N390-N391</f>
        <v>14.987609989940283</v>
      </c>
      <c r="P388" s="105">
        <f t="shared" ref="P388" si="184">O390-O391</f>
        <v>9.5920703935617819</v>
      </c>
      <c r="Q388" s="105">
        <f t="shared" ref="Q388" si="185">P390-P391</f>
        <v>6.1389250518795411</v>
      </c>
      <c r="R388" s="105">
        <f t="shared" ref="R388" si="186">Q390-Q391</f>
        <v>3.9289120332029062</v>
      </c>
      <c r="S388" s="105">
        <f t="shared" ref="S388" si="187">R390-R391</f>
        <v>2.5145037012498599</v>
      </c>
      <c r="T388" s="105">
        <f t="shared" ref="T388" si="188">S390-S391</f>
        <v>1.6092823687999105</v>
      </c>
      <c r="U388" s="105">
        <f t="shared" ref="U388" si="189">T390-T391</f>
        <v>1.0299407160319427</v>
      </c>
      <c r="V388" s="105">
        <f t="shared" ref="V388" si="190">U390-U391</f>
        <v>1.0299407160319427</v>
      </c>
      <c r="W388" s="105">
        <f t="shared" ref="W388" si="191">V390-V391</f>
        <v>1.0299407160319427</v>
      </c>
      <c r="X388" s="105">
        <f t="shared" ref="X388" si="192">W390-W391</f>
        <v>1.0299407160319427</v>
      </c>
      <c r="Y388" s="105">
        <f t="shared" ref="Y388" si="193">X390-X391</f>
        <v>1.0299407160319427</v>
      </c>
      <c r="Z388" s="105">
        <f t="shared" ref="Z388" si="194">Y390-Y391</f>
        <v>1.0299407160319427</v>
      </c>
      <c r="AA388" s="105">
        <f t="shared" ref="AA388" si="195">Z390-Z391</f>
        <v>1.0299407160319427</v>
      </c>
      <c r="AB388" s="105">
        <f t="shared" ref="AB388" si="196">AA390-AA391</f>
        <v>1.0299407160319427</v>
      </c>
      <c r="AC388" s="105">
        <f t="shared" ref="AC388" si="197">AB390-AB391</f>
        <v>1.0299407160319427</v>
      </c>
      <c r="AD388" s="105">
        <f t="shared" ref="AD388" si="198">AC390-AC391</f>
        <v>1.0299407160319427</v>
      </c>
    </row>
    <row r="389" spans="1:30" s="104" customFormat="1" outlineLevel="1">
      <c r="A389" s="104" t="str">
        <f>A385</f>
        <v>Mine &amp; Mineral Processing</v>
      </c>
      <c r="B389" s="104" t="str">
        <f>B385</f>
        <v>A$ millions NOMINAL</v>
      </c>
      <c r="C389" s="105">
        <f>SUM(D389:AD389)</f>
        <v>828.97948474668544</v>
      </c>
      <c r="D389" s="105">
        <f t="shared" ref="D389:AD389" si="199">D385</f>
        <v>302.98514815086236</v>
      </c>
      <c r="E389" s="105">
        <f t="shared" si="199"/>
        <v>494.47176178220735</v>
      </c>
      <c r="F389" s="105">
        <f t="shared" si="199"/>
        <v>31.522574813615719</v>
      </c>
      <c r="G389" s="105">
        <f t="shared" si="199"/>
        <v>0</v>
      </c>
      <c r="H389" s="105">
        <f t="shared" si="199"/>
        <v>0</v>
      </c>
      <c r="I389" s="105">
        <f t="shared" si="199"/>
        <v>0</v>
      </c>
      <c r="J389" s="105">
        <f t="shared" si="199"/>
        <v>0</v>
      </c>
      <c r="K389" s="105">
        <f t="shared" si="199"/>
        <v>0</v>
      </c>
      <c r="L389" s="105">
        <f t="shared" si="199"/>
        <v>0</v>
      </c>
      <c r="M389" s="105">
        <f t="shared" si="199"/>
        <v>0</v>
      </c>
      <c r="N389" s="105">
        <f t="shared" si="199"/>
        <v>0</v>
      </c>
      <c r="O389" s="105">
        <f t="shared" si="199"/>
        <v>0</v>
      </c>
      <c r="P389" s="105">
        <f t="shared" si="199"/>
        <v>0</v>
      </c>
      <c r="Q389" s="105">
        <f t="shared" si="199"/>
        <v>0</v>
      </c>
      <c r="R389" s="105">
        <f t="shared" si="199"/>
        <v>0</v>
      </c>
      <c r="S389" s="105">
        <f t="shared" si="199"/>
        <v>0</v>
      </c>
      <c r="T389" s="105">
        <f t="shared" si="199"/>
        <v>0</v>
      </c>
      <c r="U389" s="105">
        <f t="shared" si="199"/>
        <v>0</v>
      </c>
      <c r="V389" s="105">
        <f t="shared" si="199"/>
        <v>0</v>
      </c>
      <c r="W389" s="105">
        <f t="shared" si="199"/>
        <v>0</v>
      </c>
      <c r="X389" s="105">
        <f t="shared" si="199"/>
        <v>0</v>
      </c>
      <c r="Y389" s="105">
        <f t="shared" si="199"/>
        <v>0</v>
      </c>
      <c r="Z389" s="105">
        <f t="shared" si="199"/>
        <v>0</v>
      </c>
      <c r="AA389" s="105">
        <f t="shared" si="199"/>
        <v>0</v>
      </c>
      <c r="AB389" s="105">
        <f t="shared" si="199"/>
        <v>0</v>
      </c>
      <c r="AC389" s="105">
        <f t="shared" si="199"/>
        <v>0</v>
      </c>
      <c r="AD389" s="105">
        <f t="shared" si="199"/>
        <v>0</v>
      </c>
    </row>
    <row r="390" spans="1:30" s="104" customFormat="1" outlineLevel="1">
      <c r="A390" s="104" t="s">
        <v>168</v>
      </c>
      <c r="B390" s="104" t="s">
        <v>290</v>
      </c>
      <c r="C390" s="105"/>
      <c r="D390" s="106">
        <f t="shared" ref="D390:AD390" si="200">D388+D389</f>
        <v>305.98514815086236</v>
      </c>
      <c r="E390" s="106">
        <f t="shared" si="200"/>
        <v>800.45690993306971</v>
      </c>
      <c r="F390" s="106">
        <f t="shared" si="200"/>
        <v>831.97948474668544</v>
      </c>
      <c r="G390" s="106">
        <f t="shared" si="200"/>
        <v>532.46687023787877</v>
      </c>
      <c r="H390" s="106">
        <f t="shared" si="200"/>
        <v>340.77879695224243</v>
      </c>
      <c r="I390" s="106">
        <f t="shared" si="200"/>
        <v>218.09843004943517</v>
      </c>
      <c r="J390" s="106">
        <f t="shared" si="200"/>
        <v>139.58299523163851</v>
      </c>
      <c r="K390" s="106">
        <f t="shared" si="200"/>
        <v>89.333116948248644</v>
      </c>
      <c r="L390" s="106">
        <f t="shared" si="200"/>
        <v>57.173194846879134</v>
      </c>
      <c r="M390" s="106">
        <f t="shared" si="200"/>
        <v>36.590844702002641</v>
      </c>
      <c r="N390" s="106">
        <f t="shared" si="200"/>
        <v>23.418140609281693</v>
      </c>
      <c r="O390" s="106">
        <f t="shared" si="200"/>
        <v>14.987609989940283</v>
      </c>
      <c r="P390" s="106">
        <f t="shared" si="200"/>
        <v>9.5920703935617819</v>
      </c>
      <c r="Q390" s="106">
        <f t="shared" si="200"/>
        <v>6.1389250518795411</v>
      </c>
      <c r="R390" s="106">
        <f t="shared" si="200"/>
        <v>3.9289120332029062</v>
      </c>
      <c r="S390" s="106">
        <f t="shared" si="200"/>
        <v>2.5145037012498599</v>
      </c>
      <c r="T390" s="106">
        <f t="shared" si="200"/>
        <v>1.6092823687999105</v>
      </c>
      <c r="U390" s="106">
        <f t="shared" si="200"/>
        <v>1.0299407160319427</v>
      </c>
      <c r="V390" s="106">
        <f t="shared" si="200"/>
        <v>1.0299407160319427</v>
      </c>
      <c r="W390" s="106">
        <f t="shared" si="200"/>
        <v>1.0299407160319427</v>
      </c>
      <c r="X390" s="106">
        <f t="shared" si="200"/>
        <v>1.0299407160319427</v>
      </c>
      <c r="Y390" s="106">
        <f t="shared" si="200"/>
        <v>1.0299407160319427</v>
      </c>
      <c r="Z390" s="106">
        <f t="shared" si="200"/>
        <v>1.0299407160319427</v>
      </c>
      <c r="AA390" s="106">
        <f t="shared" si="200"/>
        <v>1.0299407160319427</v>
      </c>
      <c r="AB390" s="106">
        <f t="shared" si="200"/>
        <v>1.0299407160319427</v>
      </c>
      <c r="AC390" s="106">
        <f t="shared" si="200"/>
        <v>1.0299407160319427</v>
      </c>
      <c r="AD390" s="106">
        <f t="shared" si="200"/>
        <v>1.0299407160319427</v>
      </c>
    </row>
    <row r="391" spans="1:30" s="104" customFormat="1" ht="12.65" customHeight="1" outlineLevel="1">
      <c r="A391" s="104" t="s">
        <v>447</v>
      </c>
      <c r="B391" s="104" t="s">
        <v>290</v>
      </c>
      <c r="C391" s="105">
        <f>SUM(D391:AD391)</f>
        <v>830.94954403065356</v>
      </c>
      <c r="D391" s="105">
        <f t="shared" ref="D391:AD391" si="201">IF(D154=0,0,D390*$C386)</f>
        <v>0</v>
      </c>
      <c r="E391" s="105">
        <f t="shared" si="201"/>
        <v>0</v>
      </c>
      <c r="F391" s="105">
        <f t="shared" si="201"/>
        <v>299.51261450880673</v>
      </c>
      <c r="G391" s="105">
        <f t="shared" si="201"/>
        <v>191.68807328563634</v>
      </c>
      <c r="H391" s="105">
        <f t="shared" si="201"/>
        <v>122.68036690280726</v>
      </c>
      <c r="I391" s="105">
        <f t="shared" si="201"/>
        <v>78.51543481779666</v>
      </c>
      <c r="J391" s="105">
        <f t="shared" si="201"/>
        <v>50.249878283389862</v>
      </c>
      <c r="K391" s="105">
        <f t="shared" si="201"/>
        <v>32.15992210136951</v>
      </c>
      <c r="L391" s="105">
        <f t="shared" si="201"/>
        <v>20.582350144876489</v>
      </c>
      <c r="M391" s="105">
        <f t="shared" si="201"/>
        <v>13.17270409272095</v>
      </c>
      <c r="N391" s="105">
        <f t="shared" si="201"/>
        <v>8.4305306193414093</v>
      </c>
      <c r="O391" s="105">
        <f t="shared" si="201"/>
        <v>5.3955395963785016</v>
      </c>
      <c r="P391" s="105">
        <f t="shared" si="201"/>
        <v>3.4531453416822413</v>
      </c>
      <c r="Q391" s="105">
        <f t="shared" si="201"/>
        <v>2.2100130186766349</v>
      </c>
      <c r="R391" s="105">
        <f t="shared" si="201"/>
        <v>1.4144083319530463</v>
      </c>
      <c r="S391" s="105">
        <f t="shared" si="201"/>
        <v>0.90522133244994951</v>
      </c>
      <c r="T391" s="105">
        <f t="shared" si="201"/>
        <v>0.57934165276796779</v>
      </c>
      <c r="U391" s="105">
        <f t="shared" si="201"/>
        <v>0</v>
      </c>
      <c r="V391" s="105">
        <f t="shared" si="201"/>
        <v>0</v>
      </c>
      <c r="W391" s="105">
        <f t="shared" si="201"/>
        <v>0</v>
      </c>
      <c r="X391" s="105">
        <f t="shared" si="201"/>
        <v>0</v>
      </c>
      <c r="Y391" s="105">
        <f t="shared" si="201"/>
        <v>0</v>
      </c>
      <c r="Z391" s="105">
        <f t="shared" si="201"/>
        <v>0</v>
      </c>
      <c r="AA391" s="105">
        <f t="shared" si="201"/>
        <v>0</v>
      </c>
      <c r="AB391" s="105">
        <f t="shared" si="201"/>
        <v>0</v>
      </c>
      <c r="AC391" s="105">
        <f t="shared" si="201"/>
        <v>0</v>
      </c>
      <c r="AD391" s="105">
        <f t="shared" si="201"/>
        <v>0</v>
      </c>
    </row>
    <row r="392" spans="1:30" s="104" customFormat="1" ht="12.65" customHeight="1" outlineLevel="1">
      <c r="A392" s="104" t="s">
        <v>448</v>
      </c>
      <c r="B392" s="104" t="s">
        <v>290</v>
      </c>
      <c r="C392" s="105">
        <f>SUM(D392:AD392)</f>
        <v>831.97948474668544</v>
      </c>
      <c r="D392" s="105">
        <f t="shared" ref="D392:AD392" si="202">IF(AND(D154&gt;0,E154=0),D390,D391)</f>
        <v>0</v>
      </c>
      <c r="E392" s="105">
        <f t="shared" si="202"/>
        <v>0</v>
      </c>
      <c r="F392" s="105">
        <f t="shared" si="202"/>
        <v>299.51261450880673</v>
      </c>
      <c r="G392" s="105">
        <f t="shared" si="202"/>
        <v>191.68807328563634</v>
      </c>
      <c r="H392" s="105">
        <f t="shared" si="202"/>
        <v>122.68036690280726</v>
      </c>
      <c r="I392" s="105">
        <f t="shared" si="202"/>
        <v>78.51543481779666</v>
      </c>
      <c r="J392" s="105">
        <f t="shared" si="202"/>
        <v>50.249878283389862</v>
      </c>
      <c r="K392" s="105">
        <f t="shared" si="202"/>
        <v>32.15992210136951</v>
      </c>
      <c r="L392" s="105">
        <f t="shared" si="202"/>
        <v>20.582350144876489</v>
      </c>
      <c r="M392" s="105">
        <f t="shared" si="202"/>
        <v>13.17270409272095</v>
      </c>
      <c r="N392" s="105">
        <f t="shared" si="202"/>
        <v>8.4305306193414093</v>
      </c>
      <c r="O392" s="105">
        <f t="shared" si="202"/>
        <v>5.3955395963785016</v>
      </c>
      <c r="P392" s="105">
        <f t="shared" si="202"/>
        <v>3.4531453416822413</v>
      </c>
      <c r="Q392" s="105">
        <f t="shared" si="202"/>
        <v>2.2100130186766349</v>
      </c>
      <c r="R392" s="105">
        <f t="shared" si="202"/>
        <v>1.4144083319530463</v>
      </c>
      <c r="S392" s="105">
        <f t="shared" si="202"/>
        <v>0.90522133244994951</v>
      </c>
      <c r="T392" s="105">
        <f t="shared" si="202"/>
        <v>1.6092823687999105</v>
      </c>
      <c r="U392" s="105">
        <f t="shared" si="202"/>
        <v>0</v>
      </c>
      <c r="V392" s="105">
        <f t="shared" si="202"/>
        <v>0</v>
      </c>
      <c r="W392" s="105">
        <f t="shared" si="202"/>
        <v>0</v>
      </c>
      <c r="X392" s="105">
        <f t="shared" si="202"/>
        <v>0</v>
      </c>
      <c r="Y392" s="105">
        <f t="shared" si="202"/>
        <v>0</v>
      </c>
      <c r="Z392" s="105">
        <f t="shared" si="202"/>
        <v>0</v>
      </c>
      <c r="AA392" s="105">
        <f t="shared" si="202"/>
        <v>0</v>
      </c>
      <c r="AB392" s="105">
        <f t="shared" si="202"/>
        <v>0</v>
      </c>
      <c r="AC392" s="105">
        <f t="shared" si="202"/>
        <v>0</v>
      </c>
      <c r="AD392" s="105">
        <f t="shared" si="202"/>
        <v>0</v>
      </c>
    </row>
    <row r="393" spans="1:30" outlineLevel="1">
      <c r="A393" s="143" t="s">
        <v>444</v>
      </c>
      <c r="C393" s="42" t="str">
        <f>IF(C385+D388=C392,"OK","CHECK!")</f>
        <v>OK</v>
      </c>
      <c r="D393" s="42"/>
      <c r="E393" s="42"/>
      <c r="F393" s="42"/>
      <c r="G393" s="42"/>
      <c r="H393" s="42"/>
      <c r="I393" s="42"/>
      <c r="J393" s="42"/>
      <c r="K393" s="42"/>
      <c r="L393" s="42"/>
      <c r="M393" s="42"/>
      <c r="N393" s="42"/>
      <c r="O393" s="42"/>
      <c r="P393" s="42"/>
      <c r="Q393" s="42"/>
      <c r="R393" s="42"/>
      <c r="S393" s="42"/>
      <c r="T393" s="42"/>
      <c r="U393" s="42"/>
      <c r="V393" s="42"/>
      <c r="W393" s="42"/>
      <c r="X393" s="42"/>
      <c r="Y393" s="42"/>
      <c r="Z393" s="42"/>
      <c r="AA393" s="42"/>
      <c r="AB393" s="42"/>
      <c r="AC393" s="42"/>
      <c r="AD393" s="42"/>
    </row>
    <row r="394" spans="1:30" outlineLevel="1">
      <c r="A394" s="49" t="s">
        <v>466</v>
      </c>
      <c r="C394" s="42"/>
      <c r="D394" s="42"/>
      <c r="E394" s="42"/>
      <c r="F394" s="42"/>
      <c r="G394" s="42"/>
      <c r="H394" s="42"/>
      <c r="I394" s="42"/>
      <c r="J394" s="42"/>
      <c r="K394" s="42"/>
      <c r="L394" s="42"/>
      <c r="M394" s="42"/>
      <c r="N394" s="42"/>
      <c r="O394" s="42"/>
      <c r="P394" s="42"/>
      <c r="Q394" s="42"/>
      <c r="R394" s="42"/>
      <c r="S394" s="42"/>
      <c r="T394" s="42"/>
      <c r="U394" s="42"/>
      <c r="V394" s="42"/>
      <c r="W394" s="42"/>
      <c r="X394" s="42"/>
      <c r="Y394" s="42"/>
      <c r="Z394" s="42"/>
      <c r="AA394" s="42"/>
      <c r="AB394" s="42"/>
      <c r="AC394" s="42"/>
      <c r="AD394" s="42"/>
    </row>
    <row r="395" spans="1:30" outlineLevel="1">
      <c r="A395" s="134" t="s">
        <v>555</v>
      </c>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c r="AC395" s="15"/>
      <c r="AD395" s="15"/>
    </row>
    <row r="396" spans="1:30" outlineLevel="1">
      <c r="A396" s="45" t="str">
        <f t="shared" ref="A396:B400" si="203">A341</f>
        <v>Infrastructure &amp; Utiities</v>
      </c>
      <c r="B396" s="45" t="str">
        <f t="shared" si="203"/>
        <v>A$ million Real</v>
      </c>
      <c r="C396" s="42">
        <f>SUM(D396:AD396)</f>
        <v>158</v>
      </c>
      <c r="D396" s="42">
        <f t="shared" ref="D396:AD396" si="204">D341</f>
        <v>50</v>
      </c>
      <c r="E396" s="42">
        <f t="shared" si="204"/>
        <v>100</v>
      </c>
      <c r="F396" s="42">
        <f t="shared" si="204"/>
        <v>8</v>
      </c>
      <c r="G396" s="42">
        <f t="shared" si="204"/>
        <v>0</v>
      </c>
      <c r="H396" s="42">
        <f t="shared" si="204"/>
        <v>0</v>
      </c>
      <c r="I396" s="42">
        <f t="shared" si="204"/>
        <v>0</v>
      </c>
      <c r="J396" s="42">
        <f t="shared" si="204"/>
        <v>0</v>
      </c>
      <c r="K396" s="42">
        <f t="shared" si="204"/>
        <v>0</v>
      </c>
      <c r="L396" s="42">
        <f t="shared" si="204"/>
        <v>0</v>
      </c>
      <c r="M396" s="42">
        <f t="shared" si="204"/>
        <v>0</v>
      </c>
      <c r="N396" s="42">
        <f t="shared" si="204"/>
        <v>0</v>
      </c>
      <c r="O396" s="42">
        <f t="shared" si="204"/>
        <v>0</v>
      </c>
      <c r="P396" s="42">
        <f t="shared" si="204"/>
        <v>0</v>
      </c>
      <c r="Q396" s="42">
        <f t="shared" si="204"/>
        <v>0</v>
      </c>
      <c r="R396" s="42">
        <f t="shared" si="204"/>
        <v>0</v>
      </c>
      <c r="S396" s="42">
        <f t="shared" si="204"/>
        <v>0</v>
      </c>
      <c r="T396" s="42">
        <f t="shared" si="204"/>
        <v>0</v>
      </c>
      <c r="U396" s="42">
        <f t="shared" si="204"/>
        <v>0</v>
      </c>
      <c r="V396" s="42">
        <f t="shared" si="204"/>
        <v>0</v>
      </c>
      <c r="W396" s="42">
        <f t="shared" si="204"/>
        <v>0</v>
      </c>
      <c r="X396" s="42">
        <f t="shared" si="204"/>
        <v>0</v>
      </c>
      <c r="Y396" s="42">
        <f t="shared" si="204"/>
        <v>0</v>
      </c>
      <c r="Z396" s="42">
        <f t="shared" si="204"/>
        <v>0</v>
      </c>
      <c r="AA396" s="42">
        <f t="shared" si="204"/>
        <v>0</v>
      </c>
      <c r="AB396" s="42">
        <f t="shared" si="204"/>
        <v>0</v>
      </c>
      <c r="AC396" s="42">
        <f t="shared" si="204"/>
        <v>0</v>
      </c>
      <c r="AD396" s="42">
        <f t="shared" si="204"/>
        <v>0</v>
      </c>
    </row>
    <row r="397" spans="1:30" outlineLevel="1">
      <c r="A397" s="45" t="str">
        <f t="shared" si="203"/>
        <v>Spares and First Fill</v>
      </c>
      <c r="B397" s="45" t="str">
        <f t="shared" si="203"/>
        <v>A$ million Real</v>
      </c>
      <c r="C397" s="42">
        <f t="shared" ref="C397:C401" si="205">SUM(D397:AD397)</f>
        <v>12</v>
      </c>
      <c r="D397" s="42">
        <f t="shared" ref="D397:AD397" si="206">D342</f>
        <v>0</v>
      </c>
      <c r="E397" s="42">
        <f t="shared" si="206"/>
        <v>0</v>
      </c>
      <c r="F397" s="42">
        <f t="shared" si="206"/>
        <v>12</v>
      </c>
      <c r="G397" s="42">
        <f t="shared" si="206"/>
        <v>0</v>
      </c>
      <c r="H397" s="42">
        <f t="shared" si="206"/>
        <v>0</v>
      </c>
      <c r="I397" s="42">
        <f t="shared" si="206"/>
        <v>0</v>
      </c>
      <c r="J397" s="42">
        <f t="shared" si="206"/>
        <v>0</v>
      </c>
      <c r="K397" s="42">
        <f t="shared" si="206"/>
        <v>0</v>
      </c>
      <c r="L397" s="42">
        <f t="shared" si="206"/>
        <v>0</v>
      </c>
      <c r="M397" s="42">
        <f t="shared" si="206"/>
        <v>0</v>
      </c>
      <c r="N397" s="42">
        <f t="shared" si="206"/>
        <v>0</v>
      </c>
      <c r="O397" s="42">
        <f t="shared" si="206"/>
        <v>0</v>
      </c>
      <c r="P397" s="42">
        <f t="shared" si="206"/>
        <v>0</v>
      </c>
      <c r="Q397" s="42">
        <f t="shared" si="206"/>
        <v>0</v>
      </c>
      <c r="R397" s="42">
        <f t="shared" si="206"/>
        <v>0</v>
      </c>
      <c r="S397" s="42">
        <f t="shared" si="206"/>
        <v>0</v>
      </c>
      <c r="T397" s="42">
        <f t="shared" si="206"/>
        <v>0</v>
      </c>
      <c r="U397" s="42">
        <f t="shared" si="206"/>
        <v>0</v>
      </c>
      <c r="V397" s="42">
        <f t="shared" si="206"/>
        <v>0</v>
      </c>
      <c r="W397" s="42">
        <f t="shared" si="206"/>
        <v>0</v>
      </c>
      <c r="X397" s="42">
        <f t="shared" si="206"/>
        <v>0</v>
      </c>
      <c r="Y397" s="42">
        <f t="shared" si="206"/>
        <v>0</v>
      </c>
      <c r="Z397" s="42">
        <f t="shared" si="206"/>
        <v>0</v>
      </c>
      <c r="AA397" s="42">
        <f t="shared" si="206"/>
        <v>0</v>
      </c>
      <c r="AB397" s="42">
        <f t="shared" si="206"/>
        <v>0</v>
      </c>
      <c r="AC397" s="42">
        <f t="shared" si="206"/>
        <v>0</v>
      </c>
      <c r="AD397" s="42">
        <f t="shared" si="206"/>
        <v>0</v>
      </c>
    </row>
    <row r="398" spans="1:30" outlineLevel="1">
      <c r="A398" s="45" t="str">
        <f t="shared" si="203"/>
        <v>EPCM</v>
      </c>
      <c r="B398" s="45" t="str">
        <f t="shared" si="203"/>
        <v>A$ million Real</v>
      </c>
      <c r="C398" s="42">
        <f t="shared" si="205"/>
        <v>130</v>
      </c>
      <c r="D398" s="42">
        <f t="shared" ref="D398:AD398" si="207">D343</f>
        <v>40</v>
      </c>
      <c r="E398" s="42">
        <f t="shared" si="207"/>
        <v>80</v>
      </c>
      <c r="F398" s="42">
        <f t="shared" si="207"/>
        <v>10</v>
      </c>
      <c r="G398" s="42">
        <f t="shared" si="207"/>
        <v>0</v>
      </c>
      <c r="H398" s="42">
        <f t="shared" si="207"/>
        <v>0</v>
      </c>
      <c r="I398" s="42">
        <f t="shared" si="207"/>
        <v>0</v>
      </c>
      <c r="J398" s="42">
        <f t="shared" si="207"/>
        <v>0</v>
      </c>
      <c r="K398" s="42">
        <f t="shared" si="207"/>
        <v>0</v>
      </c>
      <c r="L398" s="42">
        <f t="shared" si="207"/>
        <v>0</v>
      </c>
      <c r="M398" s="42">
        <f t="shared" si="207"/>
        <v>0</v>
      </c>
      <c r="N398" s="42">
        <f t="shared" si="207"/>
        <v>0</v>
      </c>
      <c r="O398" s="42">
        <f t="shared" si="207"/>
        <v>0</v>
      </c>
      <c r="P398" s="42">
        <f t="shared" si="207"/>
        <v>0</v>
      </c>
      <c r="Q398" s="42">
        <f t="shared" si="207"/>
        <v>0</v>
      </c>
      <c r="R398" s="42">
        <f t="shared" si="207"/>
        <v>0</v>
      </c>
      <c r="S398" s="42">
        <f t="shared" si="207"/>
        <v>0</v>
      </c>
      <c r="T398" s="42">
        <f t="shared" si="207"/>
        <v>0</v>
      </c>
      <c r="U398" s="42">
        <f t="shared" si="207"/>
        <v>0</v>
      </c>
      <c r="V398" s="42">
        <f t="shared" si="207"/>
        <v>0</v>
      </c>
      <c r="W398" s="42">
        <f t="shared" si="207"/>
        <v>0</v>
      </c>
      <c r="X398" s="42">
        <f t="shared" si="207"/>
        <v>0</v>
      </c>
      <c r="Y398" s="42">
        <f t="shared" si="207"/>
        <v>0</v>
      </c>
      <c r="Z398" s="42">
        <f t="shared" si="207"/>
        <v>0</v>
      </c>
      <c r="AA398" s="42">
        <f t="shared" si="207"/>
        <v>0</v>
      </c>
      <c r="AB398" s="42">
        <f t="shared" si="207"/>
        <v>0</v>
      </c>
      <c r="AC398" s="42">
        <f t="shared" si="207"/>
        <v>0</v>
      </c>
      <c r="AD398" s="42">
        <f t="shared" si="207"/>
        <v>0</v>
      </c>
    </row>
    <row r="399" spans="1:30" outlineLevel="1">
      <c r="A399" s="45" t="str">
        <f t="shared" si="203"/>
        <v>Indirects &amp; Contingency</v>
      </c>
      <c r="B399" s="45" t="str">
        <f t="shared" si="203"/>
        <v>A$ million Real</v>
      </c>
      <c r="C399" s="42">
        <f t="shared" si="205"/>
        <v>77</v>
      </c>
      <c r="D399" s="42">
        <f t="shared" ref="D399:AD399" si="208">D344</f>
        <v>25</v>
      </c>
      <c r="E399" s="42">
        <f t="shared" si="208"/>
        <v>45</v>
      </c>
      <c r="F399" s="42">
        <f t="shared" si="208"/>
        <v>7</v>
      </c>
      <c r="G399" s="42">
        <f t="shared" si="208"/>
        <v>0</v>
      </c>
      <c r="H399" s="42">
        <f t="shared" si="208"/>
        <v>0</v>
      </c>
      <c r="I399" s="42">
        <f t="shared" si="208"/>
        <v>0</v>
      </c>
      <c r="J399" s="42">
        <f t="shared" si="208"/>
        <v>0</v>
      </c>
      <c r="K399" s="42">
        <f t="shared" si="208"/>
        <v>0</v>
      </c>
      <c r="L399" s="42">
        <f t="shared" si="208"/>
        <v>0</v>
      </c>
      <c r="M399" s="42">
        <f t="shared" si="208"/>
        <v>0</v>
      </c>
      <c r="N399" s="42">
        <f t="shared" si="208"/>
        <v>0</v>
      </c>
      <c r="O399" s="42">
        <f t="shared" si="208"/>
        <v>0</v>
      </c>
      <c r="P399" s="42">
        <f t="shared" si="208"/>
        <v>0</v>
      </c>
      <c r="Q399" s="42">
        <f t="shared" si="208"/>
        <v>0</v>
      </c>
      <c r="R399" s="42">
        <f t="shared" si="208"/>
        <v>0</v>
      </c>
      <c r="S399" s="42">
        <f t="shared" si="208"/>
        <v>0</v>
      </c>
      <c r="T399" s="42">
        <f t="shared" si="208"/>
        <v>0</v>
      </c>
      <c r="U399" s="42">
        <f t="shared" si="208"/>
        <v>0</v>
      </c>
      <c r="V399" s="42">
        <f t="shared" si="208"/>
        <v>0</v>
      </c>
      <c r="W399" s="42">
        <f t="shared" si="208"/>
        <v>0</v>
      </c>
      <c r="X399" s="42">
        <f t="shared" si="208"/>
        <v>0</v>
      </c>
      <c r="Y399" s="42">
        <f t="shared" si="208"/>
        <v>0</v>
      </c>
      <c r="Z399" s="42">
        <f t="shared" si="208"/>
        <v>0</v>
      </c>
      <c r="AA399" s="42">
        <f t="shared" si="208"/>
        <v>0</v>
      </c>
      <c r="AB399" s="42">
        <f t="shared" si="208"/>
        <v>0</v>
      </c>
      <c r="AC399" s="42">
        <f t="shared" si="208"/>
        <v>0</v>
      </c>
      <c r="AD399" s="42">
        <f t="shared" si="208"/>
        <v>0</v>
      </c>
    </row>
    <row r="400" spans="1:30" outlineLevel="1">
      <c r="A400" s="45" t="str">
        <f t="shared" si="203"/>
        <v>Other</v>
      </c>
      <c r="B400" s="45" t="str">
        <f t="shared" si="203"/>
        <v>A$ million Real</v>
      </c>
      <c r="C400" s="42">
        <f t="shared" ref="C400" si="209">SUM(D400:AD400)</f>
        <v>0</v>
      </c>
      <c r="D400" s="42">
        <f t="shared" ref="D400:AD400" si="210">D345</f>
        <v>0</v>
      </c>
      <c r="E400" s="42">
        <f t="shared" si="210"/>
        <v>0</v>
      </c>
      <c r="F400" s="42">
        <f t="shared" si="210"/>
        <v>0</v>
      </c>
      <c r="G400" s="42">
        <f t="shared" si="210"/>
        <v>0</v>
      </c>
      <c r="H400" s="42">
        <f t="shared" si="210"/>
        <v>0</v>
      </c>
      <c r="I400" s="42">
        <f t="shared" si="210"/>
        <v>0</v>
      </c>
      <c r="J400" s="42">
        <f t="shared" si="210"/>
        <v>0</v>
      </c>
      <c r="K400" s="42">
        <f t="shared" si="210"/>
        <v>0</v>
      </c>
      <c r="L400" s="42">
        <f t="shared" si="210"/>
        <v>0</v>
      </c>
      <c r="M400" s="42">
        <f t="shared" si="210"/>
        <v>0</v>
      </c>
      <c r="N400" s="42">
        <f t="shared" si="210"/>
        <v>0</v>
      </c>
      <c r="O400" s="42">
        <f t="shared" si="210"/>
        <v>0</v>
      </c>
      <c r="P400" s="42">
        <f t="shared" si="210"/>
        <v>0</v>
      </c>
      <c r="Q400" s="42">
        <f t="shared" si="210"/>
        <v>0</v>
      </c>
      <c r="R400" s="42">
        <f t="shared" si="210"/>
        <v>0</v>
      </c>
      <c r="S400" s="42">
        <f t="shared" si="210"/>
        <v>0</v>
      </c>
      <c r="T400" s="42">
        <f t="shared" si="210"/>
        <v>0</v>
      </c>
      <c r="U400" s="42">
        <f t="shared" si="210"/>
        <v>0</v>
      </c>
      <c r="V400" s="42">
        <f t="shared" si="210"/>
        <v>0</v>
      </c>
      <c r="W400" s="42">
        <f t="shared" si="210"/>
        <v>0</v>
      </c>
      <c r="X400" s="42">
        <f t="shared" si="210"/>
        <v>0</v>
      </c>
      <c r="Y400" s="42">
        <f t="shared" si="210"/>
        <v>0</v>
      </c>
      <c r="Z400" s="42">
        <f t="shared" si="210"/>
        <v>0</v>
      </c>
      <c r="AA400" s="42">
        <f t="shared" si="210"/>
        <v>0</v>
      </c>
      <c r="AB400" s="42">
        <f t="shared" si="210"/>
        <v>0</v>
      </c>
      <c r="AC400" s="42">
        <f t="shared" si="210"/>
        <v>0</v>
      </c>
      <c r="AD400" s="42">
        <f t="shared" si="210"/>
        <v>0</v>
      </c>
    </row>
    <row r="401" spans="1:30" outlineLevel="1">
      <c r="A401" s="45" t="str">
        <f>A354</f>
        <v>ongoing capex</v>
      </c>
      <c r="B401" s="45" t="str">
        <f>B354</f>
        <v>A$ million Real</v>
      </c>
      <c r="C401" s="42">
        <f t="shared" si="205"/>
        <v>796.20000000000016</v>
      </c>
      <c r="D401" s="42">
        <f t="shared" ref="D401:AD401" si="211">D354</f>
        <v>0</v>
      </c>
      <c r="E401" s="42">
        <f t="shared" si="211"/>
        <v>0</v>
      </c>
      <c r="F401" s="42">
        <f t="shared" si="211"/>
        <v>49.08</v>
      </c>
      <c r="G401" s="42">
        <f t="shared" si="211"/>
        <v>49.08</v>
      </c>
      <c r="H401" s="42">
        <f t="shared" si="211"/>
        <v>49.08</v>
      </c>
      <c r="I401" s="42">
        <f t="shared" si="211"/>
        <v>74.08</v>
      </c>
      <c r="J401" s="42">
        <f t="shared" si="211"/>
        <v>49.08</v>
      </c>
      <c r="K401" s="42">
        <f t="shared" si="211"/>
        <v>49.08</v>
      </c>
      <c r="L401" s="42">
        <f t="shared" si="211"/>
        <v>49.08</v>
      </c>
      <c r="M401" s="42">
        <f t="shared" si="211"/>
        <v>69.08</v>
      </c>
      <c r="N401" s="42">
        <f t="shared" si="211"/>
        <v>49.08</v>
      </c>
      <c r="O401" s="42">
        <f t="shared" si="211"/>
        <v>49.08</v>
      </c>
      <c r="P401" s="42">
        <f t="shared" si="211"/>
        <v>49.08</v>
      </c>
      <c r="Q401" s="42">
        <f t="shared" si="211"/>
        <v>64.08</v>
      </c>
      <c r="R401" s="42">
        <f t="shared" si="211"/>
        <v>49.08</v>
      </c>
      <c r="S401" s="42">
        <f t="shared" si="211"/>
        <v>49.08</v>
      </c>
      <c r="T401" s="42">
        <f t="shared" si="211"/>
        <v>49.08</v>
      </c>
      <c r="U401" s="42">
        <f t="shared" si="211"/>
        <v>0</v>
      </c>
      <c r="V401" s="42">
        <f t="shared" si="211"/>
        <v>0</v>
      </c>
      <c r="W401" s="42">
        <f t="shared" si="211"/>
        <v>0</v>
      </c>
      <c r="X401" s="42">
        <f t="shared" si="211"/>
        <v>0</v>
      </c>
      <c r="Y401" s="42">
        <f t="shared" si="211"/>
        <v>0</v>
      </c>
      <c r="Z401" s="42">
        <f t="shared" si="211"/>
        <v>0</v>
      </c>
      <c r="AA401" s="42">
        <f t="shared" si="211"/>
        <v>0</v>
      </c>
      <c r="AB401" s="42">
        <f t="shared" si="211"/>
        <v>0</v>
      </c>
      <c r="AC401" s="42">
        <f t="shared" si="211"/>
        <v>0</v>
      </c>
      <c r="AD401" s="42">
        <f t="shared" si="211"/>
        <v>0</v>
      </c>
    </row>
    <row r="402" spans="1:30" outlineLevel="1">
      <c r="A402" s="45" t="str">
        <f>A394</f>
        <v>3. Other Capex incl ongoing capex</v>
      </c>
      <c r="B402" s="45" t="s">
        <v>285</v>
      </c>
      <c r="C402" s="42">
        <f>SUM(D402:AD402)</f>
        <v>1173.2</v>
      </c>
      <c r="D402" s="70">
        <f>SUM(D396:D401)</f>
        <v>115</v>
      </c>
      <c r="E402" s="70">
        <f t="shared" ref="E402:AD402" si="212">SUM(E396:E401)</f>
        <v>225</v>
      </c>
      <c r="F402" s="70">
        <f t="shared" si="212"/>
        <v>86.08</v>
      </c>
      <c r="G402" s="70">
        <f t="shared" si="212"/>
        <v>49.08</v>
      </c>
      <c r="H402" s="70">
        <f t="shared" si="212"/>
        <v>49.08</v>
      </c>
      <c r="I402" s="70">
        <f t="shared" si="212"/>
        <v>74.08</v>
      </c>
      <c r="J402" s="70">
        <f t="shared" si="212"/>
        <v>49.08</v>
      </c>
      <c r="K402" s="70">
        <f t="shared" si="212"/>
        <v>49.08</v>
      </c>
      <c r="L402" s="70">
        <f t="shared" si="212"/>
        <v>49.08</v>
      </c>
      <c r="M402" s="70">
        <f t="shared" si="212"/>
        <v>69.08</v>
      </c>
      <c r="N402" s="70">
        <f t="shared" si="212"/>
        <v>49.08</v>
      </c>
      <c r="O402" s="70">
        <f t="shared" si="212"/>
        <v>49.08</v>
      </c>
      <c r="P402" s="70">
        <f t="shared" si="212"/>
        <v>49.08</v>
      </c>
      <c r="Q402" s="70">
        <f t="shared" si="212"/>
        <v>64.08</v>
      </c>
      <c r="R402" s="70">
        <f t="shared" si="212"/>
        <v>49.08</v>
      </c>
      <c r="S402" s="70">
        <f t="shared" si="212"/>
        <v>49.08</v>
      </c>
      <c r="T402" s="70">
        <f t="shared" si="212"/>
        <v>49.08</v>
      </c>
      <c r="U402" s="70">
        <f t="shared" si="212"/>
        <v>0</v>
      </c>
      <c r="V402" s="70">
        <f t="shared" si="212"/>
        <v>0</v>
      </c>
      <c r="W402" s="70">
        <f t="shared" si="212"/>
        <v>0</v>
      </c>
      <c r="X402" s="70">
        <f t="shared" si="212"/>
        <v>0</v>
      </c>
      <c r="Y402" s="70">
        <f t="shared" si="212"/>
        <v>0</v>
      </c>
      <c r="Z402" s="70">
        <f t="shared" si="212"/>
        <v>0</v>
      </c>
      <c r="AA402" s="70">
        <f t="shared" si="212"/>
        <v>0</v>
      </c>
      <c r="AB402" s="70">
        <f t="shared" si="212"/>
        <v>0</v>
      </c>
      <c r="AC402" s="70">
        <f t="shared" si="212"/>
        <v>0</v>
      </c>
      <c r="AD402" s="70">
        <f t="shared" si="212"/>
        <v>0</v>
      </c>
    </row>
    <row r="403" spans="1:30" outlineLevel="1">
      <c r="A403" s="45"/>
      <c r="B403" s="45"/>
      <c r="C403" s="42"/>
      <c r="D403" s="42"/>
      <c r="E403" s="42"/>
      <c r="F403" s="42"/>
      <c r="G403" s="42"/>
      <c r="H403" s="42"/>
      <c r="I403" s="42"/>
      <c r="J403" s="42"/>
      <c r="K403" s="42"/>
      <c r="L403" s="42"/>
      <c r="M403" s="42"/>
      <c r="N403" s="42"/>
      <c r="O403" s="42"/>
      <c r="P403" s="42"/>
      <c r="Q403" s="42"/>
      <c r="R403" s="42"/>
      <c r="S403" s="42"/>
      <c r="T403" s="42"/>
      <c r="U403" s="42"/>
      <c r="V403" s="42"/>
      <c r="W403" s="42"/>
      <c r="X403" s="42"/>
      <c r="Y403" s="42"/>
      <c r="Z403" s="42"/>
      <c r="AA403" s="42"/>
      <c r="AB403" s="42"/>
      <c r="AC403" s="42"/>
      <c r="AD403" s="42"/>
    </row>
    <row r="404" spans="1:30" s="104" customFormat="1" outlineLevel="1">
      <c r="A404" s="104" t="str">
        <f>A402</f>
        <v>3. Other Capex incl ongoing capex</v>
      </c>
      <c r="B404" s="104" t="s">
        <v>290</v>
      </c>
      <c r="C404" s="105">
        <f>SUM(D404:AD404)</f>
        <v>1350.2569622989595</v>
      </c>
      <c r="D404" s="105">
        <f>D402*D$373</f>
        <v>116.1443067911639</v>
      </c>
      <c r="E404" s="105">
        <f t="shared" ref="E404" si="213">E402*E$373</f>
        <v>231.78363833540971</v>
      </c>
      <c r="F404" s="105">
        <f t="shared" ref="F404" si="214">F402*F$373</f>
        <v>90.44877466520137</v>
      </c>
      <c r="G404" s="105">
        <f t="shared" ref="G404" si="215">G402*G$373</f>
        <v>52.602351042976814</v>
      </c>
      <c r="H404" s="105">
        <f t="shared" ref="H404" si="216">H402*H$373</f>
        <v>53.654398063836354</v>
      </c>
      <c r="I404" s="105">
        <f t="shared" ref="I404" si="217">I402*I$373</f>
        <v>82.604159835786007</v>
      </c>
      <c r="J404" s="105">
        <f t="shared" ref="J404" si="218">J402*J$373</f>
        <v>55.822035745615345</v>
      </c>
      <c r="K404" s="105">
        <f t="shared" ref="K404" si="219">K402*K$373</f>
        <v>56.938476460527653</v>
      </c>
      <c r="L404" s="105">
        <f t="shared" ref="L404" si="220">L402*L$373</f>
        <v>58.077245989738202</v>
      </c>
      <c r="M404" s="105">
        <f t="shared" ref="M404" si="221">M402*M$373</f>
        <v>83.378477506734669</v>
      </c>
      <c r="N404" s="105">
        <f t="shared" ref="N404" si="222">N402*N$373</f>
        <v>60.423566727723632</v>
      </c>
      <c r="O404" s="105">
        <f t="shared" ref="O404" si="223">O402*O$373</f>
        <v>61.632038062278106</v>
      </c>
      <c r="P404" s="105">
        <f t="shared" ref="P404" si="224">P402*P$373</f>
        <v>62.864678823523668</v>
      </c>
      <c r="Q404" s="105">
        <f t="shared" ref="Q404" si="225">Q402*Q$373</f>
        <v>83.7191522288432</v>
      </c>
      <c r="R404" s="105">
        <f t="shared" ref="R404" si="226">R402*R$373</f>
        <v>65.404411847994027</v>
      </c>
      <c r="S404" s="105">
        <f t="shared" ref="S404" si="227">S402*S$373</f>
        <v>66.712500084953902</v>
      </c>
      <c r="T404" s="105">
        <f t="shared" ref="T404" si="228">T402*T$373</f>
        <v>68.046750086652992</v>
      </c>
      <c r="U404" s="105">
        <f t="shared" ref="U404" si="229">U402*U$373</f>
        <v>0</v>
      </c>
      <c r="V404" s="105">
        <f t="shared" ref="V404" si="230">V402*V$373</f>
        <v>0</v>
      </c>
      <c r="W404" s="105">
        <f t="shared" ref="W404" si="231">W402*W$373</f>
        <v>0</v>
      </c>
      <c r="X404" s="105">
        <f t="shared" ref="X404" si="232">X402*X$373</f>
        <v>0</v>
      </c>
      <c r="Y404" s="105">
        <f t="shared" ref="Y404" si="233">Y402*Y$373</f>
        <v>0</v>
      </c>
      <c r="Z404" s="105">
        <f t="shared" ref="Z404" si="234">Z402*Z$373</f>
        <v>0</v>
      </c>
      <c r="AA404" s="105">
        <f t="shared" ref="AA404" si="235">AA402*AA$373</f>
        <v>0</v>
      </c>
      <c r="AB404" s="105">
        <f t="shared" ref="AB404" si="236">AB402*AB$373</f>
        <v>0</v>
      </c>
      <c r="AC404" s="105">
        <f t="shared" ref="AC404" si="237">AC402*AC$373</f>
        <v>0</v>
      </c>
      <c r="AD404" s="105">
        <f t="shared" ref="AD404" si="238">AD402*AD$373</f>
        <v>0</v>
      </c>
    </row>
    <row r="405" spans="1:30" ht="14.5" outlineLevel="1">
      <c r="A405" s="276" t="s">
        <v>13</v>
      </c>
      <c r="B405" s="276" t="s">
        <v>27</v>
      </c>
      <c r="C405" s="275">
        <f>9%*2</f>
        <v>0.18</v>
      </c>
      <c r="D405" s="15"/>
      <c r="E405" s="15"/>
      <c r="F405" s="15"/>
      <c r="G405" s="15"/>
      <c r="H405" s="15"/>
      <c r="I405" s="15"/>
      <c r="J405" s="15"/>
      <c r="K405" s="15"/>
      <c r="L405" s="15"/>
      <c r="M405" s="15"/>
      <c r="N405" s="15"/>
      <c r="O405" s="15"/>
      <c r="P405" s="15"/>
      <c r="Q405" s="15"/>
      <c r="R405" s="15"/>
      <c r="S405" s="15"/>
      <c r="T405" s="15"/>
      <c r="U405" s="15"/>
      <c r="V405" s="15"/>
      <c r="W405" s="15"/>
      <c r="X405" s="15"/>
      <c r="Y405" s="15"/>
      <c r="Z405" s="15"/>
      <c r="AA405" s="15"/>
      <c r="AB405" s="15"/>
      <c r="AC405" s="15"/>
      <c r="AD405" s="15"/>
    </row>
    <row r="406" spans="1:30" ht="13.5" outlineLevel="1" thickBot="1">
      <c r="A406" s="134" t="s">
        <v>556</v>
      </c>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row>
    <row r="407" spans="1:30" s="104" customFormat="1" ht="15" outlineLevel="1" thickBot="1">
      <c r="A407" s="104" t="s">
        <v>445</v>
      </c>
      <c r="B407" s="104" t="s">
        <v>290</v>
      </c>
      <c r="C407" s="105"/>
      <c r="D407" s="277">
        <v>13</v>
      </c>
      <c r="E407" s="105">
        <f t="shared" ref="E407" si="239">D409-D410</f>
        <v>129.1443067911639</v>
      </c>
      <c r="F407" s="105">
        <f>E409-E410</f>
        <v>360.9279451265736</v>
      </c>
      <c r="G407" s="105">
        <f t="shared" ref="G407" si="240">F409-F410</f>
        <v>370.1289102292555</v>
      </c>
      <c r="H407" s="105">
        <f t="shared" ref="H407" si="241">G409-G410</f>
        <v>346.63963424323049</v>
      </c>
      <c r="I407" s="105">
        <f t="shared" ref="I407" si="242">H409-H410</f>
        <v>328.24110649179482</v>
      </c>
      <c r="J407" s="105">
        <f t="shared" ref="J407" si="243">I409-I410</f>
        <v>336.89311838861624</v>
      </c>
      <c r="K407" s="105">
        <f t="shared" ref="K407" si="244">J409-J410</f>
        <v>322.0264263900699</v>
      </c>
      <c r="L407" s="105">
        <f t="shared" ref="L407" si="245">K409-K410</f>
        <v>310.75122033749005</v>
      </c>
      <c r="M407" s="105">
        <f t="shared" ref="M407" si="246">L409-L410</f>
        <v>302.43934238832719</v>
      </c>
      <c r="N407" s="105">
        <f t="shared" ref="N407" si="247">M409-M410</f>
        <v>316.37061231395074</v>
      </c>
      <c r="O407" s="105">
        <f t="shared" ref="O407" si="248">N409-N410</f>
        <v>308.97122681417301</v>
      </c>
      <c r="P407" s="105">
        <f t="shared" ref="P407" si="249">O409-O410</f>
        <v>303.89467719868992</v>
      </c>
      <c r="Q407" s="105">
        <f t="shared" ref="Q407" si="250">P409-P410</f>
        <v>300.74267193821515</v>
      </c>
      <c r="R407" s="105">
        <f t="shared" ref="R407" si="251">Q409-Q410</f>
        <v>315.25869581698782</v>
      </c>
      <c r="S407" s="105">
        <f t="shared" ref="S407" si="252">R409-R410</f>
        <v>312.14374828528514</v>
      </c>
      <c r="T407" s="105">
        <f t="shared" ref="T407" si="253">S409-S410</f>
        <v>310.66212366359599</v>
      </c>
      <c r="U407" s="105">
        <f t="shared" ref="U407" si="254">T409-T410</f>
        <v>310.5412764752042</v>
      </c>
      <c r="V407" s="105">
        <f t="shared" ref="V407" si="255">U409-U410</f>
        <v>310.5412764752042</v>
      </c>
      <c r="W407" s="105">
        <f t="shared" ref="W407" si="256">V409-V410</f>
        <v>310.5412764752042</v>
      </c>
      <c r="X407" s="105">
        <f t="shared" ref="X407" si="257">W409-W410</f>
        <v>310.5412764752042</v>
      </c>
      <c r="Y407" s="105">
        <f t="shared" ref="Y407" si="258">X409-X410</f>
        <v>310.5412764752042</v>
      </c>
      <c r="Z407" s="105">
        <f t="shared" ref="Z407" si="259">Y409-Y410</f>
        <v>310.5412764752042</v>
      </c>
      <c r="AA407" s="105">
        <f t="shared" ref="AA407" si="260">Z409-Z410</f>
        <v>310.5412764752042</v>
      </c>
      <c r="AB407" s="105">
        <f t="shared" ref="AB407" si="261">AA409-AA410</f>
        <v>310.5412764752042</v>
      </c>
      <c r="AC407" s="105">
        <f t="shared" ref="AC407" si="262">AB409-AB410</f>
        <v>310.5412764752042</v>
      </c>
      <c r="AD407" s="105">
        <f t="shared" ref="AD407" si="263">AC409-AC410</f>
        <v>310.5412764752042</v>
      </c>
    </row>
    <row r="408" spans="1:30" s="104" customFormat="1" outlineLevel="1">
      <c r="A408" s="104" t="str">
        <f>A404</f>
        <v>3. Other Capex incl ongoing capex</v>
      </c>
      <c r="B408" s="104" t="str">
        <f>B404</f>
        <v>A$ millions NOMINAL</v>
      </c>
      <c r="C408" s="105">
        <f>SUM(D408:AD408)</f>
        <v>1350.2569622989595</v>
      </c>
      <c r="D408" s="105">
        <f t="shared" ref="D408:AD408" si="264">D404</f>
        <v>116.1443067911639</v>
      </c>
      <c r="E408" s="105">
        <f t="shared" si="264"/>
        <v>231.78363833540971</v>
      </c>
      <c r="F408" s="105">
        <f t="shared" si="264"/>
        <v>90.44877466520137</v>
      </c>
      <c r="G408" s="105">
        <f t="shared" si="264"/>
        <v>52.602351042976814</v>
      </c>
      <c r="H408" s="105">
        <f t="shared" si="264"/>
        <v>53.654398063836354</v>
      </c>
      <c r="I408" s="105">
        <f t="shared" si="264"/>
        <v>82.604159835786007</v>
      </c>
      <c r="J408" s="105">
        <f t="shared" si="264"/>
        <v>55.822035745615345</v>
      </c>
      <c r="K408" s="105">
        <f t="shared" si="264"/>
        <v>56.938476460527653</v>
      </c>
      <c r="L408" s="105">
        <f t="shared" si="264"/>
        <v>58.077245989738202</v>
      </c>
      <c r="M408" s="105">
        <f t="shared" si="264"/>
        <v>83.378477506734669</v>
      </c>
      <c r="N408" s="105">
        <f t="shared" si="264"/>
        <v>60.423566727723632</v>
      </c>
      <c r="O408" s="105">
        <f t="shared" si="264"/>
        <v>61.632038062278106</v>
      </c>
      <c r="P408" s="105">
        <f t="shared" si="264"/>
        <v>62.864678823523668</v>
      </c>
      <c r="Q408" s="105">
        <f t="shared" si="264"/>
        <v>83.7191522288432</v>
      </c>
      <c r="R408" s="105">
        <f t="shared" si="264"/>
        <v>65.404411847994027</v>
      </c>
      <c r="S408" s="105">
        <f t="shared" si="264"/>
        <v>66.712500084953902</v>
      </c>
      <c r="T408" s="105">
        <f t="shared" si="264"/>
        <v>68.046750086652992</v>
      </c>
      <c r="U408" s="105">
        <f t="shared" si="264"/>
        <v>0</v>
      </c>
      <c r="V408" s="105">
        <f t="shared" si="264"/>
        <v>0</v>
      </c>
      <c r="W408" s="105">
        <f t="shared" si="264"/>
        <v>0</v>
      </c>
      <c r="X408" s="105">
        <f t="shared" si="264"/>
        <v>0</v>
      </c>
      <c r="Y408" s="105">
        <f t="shared" si="264"/>
        <v>0</v>
      </c>
      <c r="Z408" s="105">
        <f t="shared" si="264"/>
        <v>0</v>
      </c>
      <c r="AA408" s="105">
        <f t="shared" si="264"/>
        <v>0</v>
      </c>
      <c r="AB408" s="105">
        <f t="shared" si="264"/>
        <v>0</v>
      </c>
      <c r="AC408" s="105">
        <f t="shared" si="264"/>
        <v>0</v>
      </c>
      <c r="AD408" s="105">
        <f t="shared" si="264"/>
        <v>0</v>
      </c>
    </row>
    <row r="409" spans="1:30" s="104" customFormat="1" outlineLevel="1">
      <c r="A409" s="104" t="s">
        <v>168</v>
      </c>
      <c r="B409" s="104" t="s">
        <v>290</v>
      </c>
      <c r="C409" s="105"/>
      <c r="D409" s="106">
        <f t="shared" ref="D409:AD409" si="265">D407+D408</f>
        <v>129.1443067911639</v>
      </c>
      <c r="E409" s="106">
        <f t="shared" si="265"/>
        <v>360.9279451265736</v>
      </c>
      <c r="F409" s="106">
        <f t="shared" si="265"/>
        <v>451.37671979177497</v>
      </c>
      <c r="G409" s="106">
        <f t="shared" si="265"/>
        <v>422.7312612722323</v>
      </c>
      <c r="H409" s="106">
        <f t="shared" si="265"/>
        <v>400.29403230706686</v>
      </c>
      <c r="I409" s="106">
        <f t="shared" si="265"/>
        <v>410.84526632758082</v>
      </c>
      <c r="J409" s="106">
        <f t="shared" si="265"/>
        <v>392.71515413423157</v>
      </c>
      <c r="K409" s="106">
        <f t="shared" si="265"/>
        <v>378.96490285059758</v>
      </c>
      <c r="L409" s="106">
        <f t="shared" si="265"/>
        <v>368.82846632722828</v>
      </c>
      <c r="M409" s="106">
        <f t="shared" si="265"/>
        <v>385.81781989506186</v>
      </c>
      <c r="N409" s="106">
        <f t="shared" si="265"/>
        <v>376.7941790416744</v>
      </c>
      <c r="O409" s="106">
        <f t="shared" si="265"/>
        <v>370.60326487645114</v>
      </c>
      <c r="P409" s="106">
        <f t="shared" si="265"/>
        <v>366.75935602221358</v>
      </c>
      <c r="Q409" s="106">
        <f t="shared" si="265"/>
        <v>384.46182416705835</v>
      </c>
      <c r="R409" s="106">
        <f t="shared" si="265"/>
        <v>380.66310766498185</v>
      </c>
      <c r="S409" s="106">
        <f t="shared" si="265"/>
        <v>378.85624837023903</v>
      </c>
      <c r="T409" s="106">
        <f t="shared" si="265"/>
        <v>378.70887375024898</v>
      </c>
      <c r="U409" s="106">
        <f t="shared" si="265"/>
        <v>310.5412764752042</v>
      </c>
      <c r="V409" s="106">
        <f t="shared" si="265"/>
        <v>310.5412764752042</v>
      </c>
      <c r="W409" s="106">
        <f t="shared" si="265"/>
        <v>310.5412764752042</v>
      </c>
      <c r="X409" s="106">
        <f t="shared" si="265"/>
        <v>310.5412764752042</v>
      </c>
      <c r="Y409" s="106">
        <f t="shared" si="265"/>
        <v>310.5412764752042</v>
      </c>
      <c r="Z409" s="106">
        <f t="shared" si="265"/>
        <v>310.5412764752042</v>
      </c>
      <c r="AA409" s="106">
        <f t="shared" si="265"/>
        <v>310.5412764752042</v>
      </c>
      <c r="AB409" s="106">
        <f t="shared" si="265"/>
        <v>310.5412764752042</v>
      </c>
      <c r="AC409" s="106">
        <f t="shared" si="265"/>
        <v>310.5412764752042</v>
      </c>
      <c r="AD409" s="106">
        <f t="shared" si="265"/>
        <v>310.5412764752042</v>
      </c>
    </row>
    <row r="410" spans="1:30" s="104" customFormat="1" ht="12.65" customHeight="1" outlineLevel="1">
      <c r="A410" s="104" t="s">
        <v>450</v>
      </c>
      <c r="B410" s="104" t="s">
        <v>290</v>
      </c>
      <c r="C410" s="105">
        <f>SUM(D410:AD410)</f>
        <v>1052.7156858237556</v>
      </c>
      <c r="D410" s="105">
        <f t="shared" ref="D410:AD410" si="266">IF(D154=0,0,D409*$C405)</f>
        <v>0</v>
      </c>
      <c r="E410" s="105">
        <f t="shared" si="266"/>
        <v>0</v>
      </c>
      <c r="F410" s="105">
        <f t="shared" si="266"/>
        <v>81.247809562519492</v>
      </c>
      <c r="G410" s="105">
        <f t="shared" si="266"/>
        <v>76.091627029001813</v>
      </c>
      <c r="H410" s="105">
        <f t="shared" si="266"/>
        <v>72.052925815272033</v>
      </c>
      <c r="I410" s="105">
        <f t="shared" si="266"/>
        <v>73.952147938964544</v>
      </c>
      <c r="J410" s="105">
        <f t="shared" si="266"/>
        <v>70.688727744161682</v>
      </c>
      <c r="K410" s="105">
        <f t="shared" si="266"/>
        <v>68.213682513107557</v>
      </c>
      <c r="L410" s="105">
        <f t="shared" si="266"/>
        <v>66.389123938901093</v>
      </c>
      <c r="M410" s="105">
        <f t="shared" si="266"/>
        <v>69.44720758111113</v>
      </c>
      <c r="N410" s="105">
        <f t="shared" si="266"/>
        <v>67.822952227501389</v>
      </c>
      <c r="O410" s="105">
        <f t="shared" si="266"/>
        <v>66.708587677761201</v>
      </c>
      <c r="P410" s="105">
        <f t="shared" si="266"/>
        <v>66.016684083998442</v>
      </c>
      <c r="Q410" s="105">
        <f t="shared" si="266"/>
        <v>69.2031283500705</v>
      </c>
      <c r="R410" s="105">
        <f t="shared" si="266"/>
        <v>68.519359379696738</v>
      </c>
      <c r="S410" s="105">
        <f t="shared" si="266"/>
        <v>68.194124706643024</v>
      </c>
      <c r="T410" s="105">
        <f t="shared" si="266"/>
        <v>68.167597275044812</v>
      </c>
      <c r="U410" s="105">
        <f t="shared" si="266"/>
        <v>0</v>
      </c>
      <c r="V410" s="105">
        <f t="shared" si="266"/>
        <v>0</v>
      </c>
      <c r="W410" s="105">
        <f t="shared" si="266"/>
        <v>0</v>
      </c>
      <c r="X410" s="105">
        <f t="shared" si="266"/>
        <v>0</v>
      </c>
      <c r="Y410" s="105">
        <f t="shared" si="266"/>
        <v>0</v>
      </c>
      <c r="Z410" s="105">
        <f t="shared" si="266"/>
        <v>0</v>
      </c>
      <c r="AA410" s="105">
        <f t="shared" si="266"/>
        <v>0</v>
      </c>
      <c r="AB410" s="105">
        <f t="shared" si="266"/>
        <v>0</v>
      </c>
      <c r="AC410" s="105">
        <f t="shared" si="266"/>
        <v>0</v>
      </c>
      <c r="AD410" s="105">
        <f t="shared" si="266"/>
        <v>0</v>
      </c>
    </row>
    <row r="411" spans="1:30" s="104" customFormat="1" ht="12.65" customHeight="1" outlineLevel="1">
      <c r="A411" s="104" t="s">
        <v>449</v>
      </c>
      <c r="B411" s="104" t="s">
        <v>290</v>
      </c>
      <c r="C411" s="105">
        <f>SUM(D411:AD411)</f>
        <v>1363.2569622989597</v>
      </c>
      <c r="D411" s="105">
        <f t="shared" ref="D411:AD411" si="267">IF(AND(D154&gt;0,E154=0),D409,D410)</f>
        <v>0</v>
      </c>
      <c r="E411" s="105">
        <f t="shared" si="267"/>
        <v>0</v>
      </c>
      <c r="F411" s="105">
        <f t="shared" si="267"/>
        <v>81.247809562519492</v>
      </c>
      <c r="G411" s="105">
        <f t="shared" si="267"/>
        <v>76.091627029001813</v>
      </c>
      <c r="H411" s="105">
        <f t="shared" si="267"/>
        <v>72.052925815272033</v>
      </c>
      <c r="I411" s="105">
        <f t="shared" si="267"/>
        <v>73.952147938964544</v>
      </c>
      <c r="J411" s="105">
        <f t="shared" si="267"/>
        <v>70.688727744161682</v>
      </c>
      <c r="K411" s="105">
        <f t="shared" si="267"/>
        <v>68.213682513107557</v>
      </c>
      <c r="L411" s="105">
        <f t="shared" si="267"/>
        <v>66.389123938901093</v>
      </c>
      <c r="M411" s="105">
        <f t="shared" si="267"/>
        <v>69.44720758111113</v>
      </c>
      <c r="N411" s="105">
        <f t="shared" si="267"/>
        <v>67.822952227501389</v>
      </c>
      <c r="O411" s="105">
        <f t="shared" si="267"/>
        <v>66.708587677761201</v>
      </c>
      <c r="P411" s="105">
        <f t="shared" si="267"/>
        <v>66.016684083998442</v>
      </c>
      <c r="Q411" s="105">
        <f t="shared" si="267"/>
        <v>69.2031283500705</v>
      </c>
      <c r="R411" s="105">
        <f t="shared" si="267"/>
        <v>68.519359379696738</v>
      </c>
      <c r="S411" s="105">
        <f t="shared" si="267"/>
        <v>68.194124706643024</v>
      </c>
      <c r="T411" s="105">
        <f t="shared" si="267"/>
        <v>378.70887375024898</v>
      </c>
      <c r="U411" s="105">
        <f t="shared" si="267"/>
        <v>0</v>
      </c>
      <c r="V411" s="105">
        <f t="shared" si="267"/>
        <v>0</v>
      </c>
      <c r="W411" s="105">
        <f t="shared" si="267"/>
        <v>0</v>
      </c>
      <c r="X411" s="105">
        <f t="shared" si="267"/>
        <v>0</v>
      </c>
      <c r="Y411" s="105">
        <f t="shared" si="267"/>
        <v>0</v>
      </c>
      <c r="Z411" s="105">
        <f t="shared" si="267"/>
        <v>0</v>
      </c>
      <c r="AA411" s="105">
        <f t="shared" si="267"/>
        <v>0</v>
      </c>
      <c r="AB411" s="105">
        <f t="shared" si="267"/>
        <v>0</v>
      </c>
      <c r="AC411" s="105">
        <f t="shared" si="267"/>
        <v>0</v>
      </c>
      <c r="AD411" s="105">
        <f t="shared" si="267"/>
        <v>0</v>
      </c>
    </row>
    <row r="412" spans="1:30" outlineLevel="1">
      <c r="A412" s="143" t="s">
        <v>444</v>
      </c>
      <c r="C412" s="42" t="str">
        <f>IF(C404+D407=C411,"OK","CHECK!")</f>
        <v>OK</v>
      </c>
      <c r="D412" s="42"/>
      <c r="E412" s="42"/>
      <c r="F412" s="42"/>
      <c r="G412" s="42"/>
      <c r="H412" s="42"/>
      <c r="I412" s="42"/>
      <c r="J412" s="42"/>
      <c r="K412" s="42"/>
      <c r="L412" s="42"/>
      <c r="M412" s="42"/>
      <c r="N412" s="42"/>
      <c r="O412" s="42"/>
      <c r="P412" s="42"/>
      <c r="Q412" s="42"/>
      <c r="R412" s="42"/>
      <c r="S412" s="42"/>
      <c r="T412" s="42"/>
      <c r="U412" s="42"/>
      <c r="V412" s="42"/>
      <c r="W412" s="42"/>
      <c r="X412" s="42"/>
      <c r="Y412" s="42"/>
      <c r="Z412" s="42"/>
      <c r="AA412" s="42"/>
      <c r="AB412" s="42"/>
      <c r="AC412" s="42"/>
      <c r="AD412" s="42"/>
    </row>
    <row r="413" spans="1:30" outlineLevel="1">
      <c r="A413" s="49" t="s">
        <v>469</v>
      </c>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c r="AA413" s="42"/>
      <c r="AB413" s="42"/>
      <c r="AC413" s="42"/>
      <c r="AD413" s="42"/>
    </row>
    <row r="414" spans="1:30" s="104" customFormat="1" ht="12.65" customHeight="1" outlineLevel="1">
      <c r="A414" s="104" t="s">
        <v>583</v>
      </c>
      <c r="B414" s="104" t="s">
        <v>290</v>
      </c>
      <c r="C414" s="105">
        <f>SUM(D414:AD414)</f>
        <v>2236.2404370953955</v>
      </c>
      <c r="D414" s="105">
        <f t="shared" ref="D414:AD414" si="268">D378+D392+D411</f>
        <v>10.099504938362077</v>
      </c>
      <c r="E414" s="105">
        <f t="shared" si="268"/>
        <v>30.90448511138796</v>
      </c>
      <c r="F414" s="105">
        <f t="shared" si="268"/>
        <v>380.76042407132621</v>
      </c>
      <c r="G414" s="105">
        <f t="shared" si="268"/>
        <v>267.77970031463815</v>
      </c>
      <c r="H414" s="105">
        <f t="shared" si="268"/>
        <v>194.7332927180793</v>
      </c>
      <c r="I414" s="105">
        <f t="shared" si="268"/>
        <v>152.4675827567612</v>
      </c>
      <c r="J414" s="105">
        <f t="shared" si="268"/>
        <v>120.93860602755154</v>
      </c>
      <c r="K414" s="105">
        <f t="shared" si="268"/>
        <v>100.37360461447707</v>
      </c>
      <c r="L414" s="105">
        <f t="shared" si="268"/>
        <v>86.971474083777579</v>
      </c>
      <c r="M414" s="105">
        <f t="shared" si="268"/>
        <v>82.619911673832078</v>
      </c>
      <c r="N414" s="105">
        <f t="shared" si="268"/>
        <v>76.2534828468428</v>
      </c>
      <c r="O414" s="105">
        <f t="shared" si="268"/>
        <v>72.104127274139699</v>
      </c>
      <c r="P414" s="105">
        <f t="shared" si="268"/>
        <v>69.469829425680686</v>
      </c>
      <c r="Q414" s="105">
        <f t="shared" si="268"/>
        <v>71.413141368747134</v>
      </c>
      <c r="R414" s="105">
        <f t="shared" si="268"/>
        <v>69.933767711649779</v>
      </c>
      <c r="S414" s="105">
        <f t="shared" si="268"/>
        <v>69.099346039092978</v>
      </c>
      <c r="T414" s="105">
        <f t="shared" si="268"/>
        <v>380.31815611904892</v>
      </c>
      <c r="U414" s="105">
        <f t="shared" si="268"/>
        <v>0</v>
      </c>
      <c r="V414" s="105">
        <f t="shared" si="268"/>
        <v>0</v>
      </c>
      <c r="W414" s="105">
        <f t="shared" si="268"/>
        <v>0</v>
      </c>
      <c r="X414" s="105">
        <f t="shared" si="268"/>
        <v>0</v>
      </c>
      <c r="Y414" s="105">
        <f t="shared" si="268"/>
        <v>0</v>
      </c>
      <c r="Z414" s="105">
        <f t="shared" si="268"/>
        <v>0</v>
      </c>
      <c r="AA414" s="105">
        <f t="shared" si="268"/>
        <v>0</v>
      </c>
      <c r="AB414" s="105">
        <f t="shared" si="268"/>
        <v>0</v>
      </c>
      <c r="AC414" s="105">
        <f t="shared" si="268"/>
        <v>0</v>
      </c>
      <c r="AD414" s="105">
        <f t="shared" si="268"/>
        <v>0</v>
      </c>
    </row>
    <row r="415" spans="1:30" outlineLevel="1">
      <c r="A415" s="50" t="s">
        <v>468</v>
      </c>
      <c r="C415" s="42"/>
      <c r="D415" s="42"/>
      <c r="E415" s="42"/>
      <c r="F415" s="42"/>
      <c r="G415" s="42"/>
      <c r="H415" s="42"/>
      <c r="I415" s="42"/>
      <c r="J415" s="42"/>
      <c r="K415" s="42"/>
      <c r="L415" s="42"/>
      <c r="M415" s="42"/>
      <c r="N415" s="42"/>
      <c r="O415" s="42"/>
      <c r="P415" s="42"/>
      <c r="Q415" s="42"/>
      <c r="R415" s="42"/>
      <c r="S415" s="42"/>
      <c r="T415" s="42"/>
      <c r="U415" s="42"/>
      <c r="V415" s="42"/>
      <c r="W415" s="42"/>
      <c r="X415" s="42"/>
      <c r="Y415" s="42"/>
      <c r="Z415" s="42"/>
      <c r="AA415" s="42"/>
      <c r="AB415" s="42"/>
      <c r="AC415" s="42"/>
      <c r="AD415" s="42"/>
    </row>
    <row r="416" spans="1:30" s="14" customFormat="1" ht="15.5" outlineLevel="1">
      <c r="A416" s="281" t="s">
        <v>584</v>
      </c>
      <c r="B416" s="13" t="s">
        <v>292</v>
      </c>
      <c r="C416" s="280">
        <f>SUM(D416:AD416)</f>
        <v>1907.7662472321526</v>
      </c>
      <c r="D416" s="279">
        <f t="shared" ref="D416:AD416" si="269">D414/D373</f>
        <v>10</v>
      </c>
      <c r="E416" s="279">
        <f t="shared" si="269"/>
        <v>30</v>
      </c>
      <c r="F416" s="279">
        <f t="shared" si="269"/>
        <v>362.3692794665323</v>
      </c>
      <c r="G416" s="279">
        <f t="shared" si="269"/>
        <v>249.84867464773083</v>
      </c>
      <c r="H416" s="279">
        <f t="shared" si="269"/>
        <v>178.13097064721703</v>
      </c>
      <c r="I416" s="279">
        <f t="shared" si="269"/>
        <v>136.73401621751867</v>
      </c>
      <c r="J416" s="279">
        <f t="shared" si="269"/>
        <v>106.33196558580289</v>
      </c>
      <c r="K416" s="279">
        <f t="shared" si="269"/>
        <v>86.520343021360887</v>
      </c>
      <c r="L416" s="279">
        <f t="shared" si="269"/>
        <v>73.497974555922028</v>
      </c>
      <c r="M416" s="279">
        <f t="shared" si="269"/>
        <v>68.451519733822451</v>
      </c>
      <c r="N416" s="279">
        <f t="shared" si="269"/>
        <v>61.938100327432267</v>
      </c>
      <c r="O416" s="279">
        <f t="shared" si="269"/>
        <v>57.419333805557578</v>
      </c>
      <c r="P416" s="279">
        <f t="shared" si="269"/>
        <v>54.236803432718077</v>
      </c>
      <c r="Q416" s="279">
        <f t="shared" si="269"/>
        <v>54.660779249180266</v>
      </c>
      <c r="R416" s="279">
        <f t="shared" si="269"/>
        <v>52.478865298336025</v>
      </c>
      <c r="S416" s="279">
        <f t="shared" si="269"/>
        <v>50.835988746935989</v>
      </c>
      <c r="T416" s="279">
        <f t="shared" si="269"/>
        <v>274.31163249608539</v>
      </c>
      <c r="U416" s="279">
        <f t="shared" si="269"/>
        <v>0</v>
      </c>
      <c r="V416" s="279">
        <f t="shared" si="269"/>
        <v>0</v>
      </c>
      <c r="W416" s="279">
        <f t="shared" si="269"/>
        <v>0</v>
      </c>
      <c r="X416" s="279">
        <f t="shared" si="269"/>
        <v>0</v>
      </c>
      <c r="Y416" s="279">
        <f t="shared" si="269"/>
        <v>0</v>
      </c>
      <c r="Z416" s="279">
        <f t="shared" si="269"/>
        <v>0</v>
      </c>
      <c r="AA416" s="279">
        <f t="shared" si="269"/>
        <v>0</v>
      </c>
      <c r="AB416" s="279">
        <f t="shared" si="269"/>
        <v>0</v>
      </c>
      <c r="AC416" s="279">
        <f t="shared" si="269"/>
        <v>0</v>
      </c>
      <c r="AD416" s="279">
        <f t="shared" si="269"/>
        <v>0</v>
      </c>
    </row>
    <row r="417" spans="1:30" s="14" customFormat="1" outlineLevel="1">
      <c r="B417" s="13"/>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c r="AA417" s="44"/>
      <c r="AB417" s="44"/>
      <c r="AC417" s="44"/>
      <c r="AD417" s="44"/>
    </row>
    <row r="418" spans="1:30" s="104" customFormat="1" ht="12.65" customHeight="1" outlineLevel="1">
      <c r="A418" s="49" t="s">
        <v>470</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row>
    <row r="419" spans="1:30" outlineLevel="1">
      <c r="A419" s="13" t="s">
        <v>461</v>
      </c>
      <c r="B419" s="13" t="str">
        <f>B356</f>
        <v>A$ million Real</v>
      </c>
      <c r="C419" s="42">
        <f>SUM(D419:AD419)</f>
        <v>2023.1999999999989</v>
      </c>
      <c r="D419" s="42">
        <f>D376+D384+D402</f>
        <v>425</v>
      </c>
      <c r="E419" s="42">
        <f t="shared" ref="E419:AD419" si="270">E376+E384+E402</f>
        <v>735</v>
      </c>
      <c r="F419" s="42">
        <f t="shared" si="270"/>
        <v>116.08</v>
      </c>
      <c r="G419" s="42">
        <f t="shared" si="270"/>
        <v>49.08</v>
      </c>
      <c r="H419" s="42">
        <f t="shared" si="270"/>
        <v>49.08</v>
      </c>
      <c r="I419" s="42">
        <f t="shared" si="270"/>
        <v>74.08</v>
      </c>
      <c r="J419" s="42">
        <f t="shared" si="270"/>
        <v>49.08</v>
      </c>
      <c r="K419" s="42">
        <f t="shared" si="270"/>
        <v>49.08</v>
      </c>
      <c r="L419" s="42">
        <f t="shared" si="270"/>
        <v>49.08</v>
      </c>
      <c r="M419" s="42">
        <f t="shared" si="270"/>
        <v>69.08</v>
      </c>
      <c r="N419" s="42">
        <f t="shared" si="270"/>
        <v>49.08</v>
      </c>
      <c r="O419" s="42">
        <f t="shared" si="270"/>
        <v>49.08</v>
      </c>
      <c r="P419" s="42">
        <f t="shared" si="270"/>
        <v>49.08</v>
      </c>
      <c r="Q419" s="42">
        <f t="shared" si="270"/>
        <v>64.08</v>
      </c>
      <c r="R419" s="42">
        <f t="shared" si="270"/>
        <v>49.08</v>
      </c>
      <c r="S419" s="42">
        <f t="shared" si="270"/>
        <v>49.08</v>
      </c>
      <c r="T419" s="42">
        <f t="shared" si="270"/>
        <v>49.08</v>
      </c>
      <c r="U419" s="42">
        <f t="shared" si="270"/>
        <v>0</v>
      </c>
      <c r="V419" s="42">
        <f t="shared" si="270"/>
        <v>0</v>
      </c>
      <c r="W419" s="42">
        <f t="shared" si="270"/>
        <v>0</v>
      </c>
      <c r="X419" s="42">
        <f t="shared" si="270"/>
        <v>0</v>
      </c>
      <c r="Y419" s="42">
        <f t="shared" si="270"/>
        <v>0</v>
      </c>
      <c r="Z419" s="42">
        <f t="shared" si="270"/>
        <v>0</v>
      </c>
      <c r="AA419" s="42">
        <f t="shared" si="270"/>
        <v>0</v>
      </c>
      <c r="AB419" s="42">
        <f t="shared" si="270"/>
        <v>0</v>
      </c>
      <c r="AC419" s="42">
        <f t="shared" si="270"/>
        <v>0</v>
      </c>
      <c r="AD419" s="42">
        <f t="shared" si="270"/>
        <v>0</v>
      </c>
    </row>
    <row r="420" spans="1:30" ht="13.5" outlineLevel="1" thickBot="1">
      <c r="A420" s="143" t="s">
        <v>463</v>
      </c>
      <c r="C420" s="44" t="str">
        <f>IF(C356=C419,"OK","CHECK!")</f>
        <v>OK</v>
      </c>
      <c r="D420" s="42"/>
      <c r="E420" s="42"/>
      <c r="F420" s="42"/>
      <c r="G420" s="42"/>
      <c r="H420" s="42"/>
      <c r="I420" s="42"/>
      <c r="J420" s="42"/>
      <c r="K420" s="42"/>
      <c r="L420" s="42"/>
      <c r="M420" s="42"/>
      <c r="N420" s="42"/>
      <c r="O420" s="42"/>
      <c r="P420" s="42"/>
      <c r="Q420" s="42"/>
      <c r="R420" s="42"/>
      <c r="S420" s="42"/>
      <c r="T420" s="42"/>
      <c r="U420" s="42"/>
      <c r="V420" s="42"/>
      <c r="W420" s="42"/>
      <c r="X420" s="42"/>
      <c r="Y420" s="42"/>
      <c r="Z420" s="42"/>
      <c r="AA420" s="42"/>
      <c r="AB420" s="42"/>
      <c r="AC420" s="42"/>
      <c r="AD420" s="42"/>
    </row>
    <row r="421" spans="1:30" ht="13.5" outlineLevel="1" thickBot="1">
      <c r="A421" s="13" t="s">
        <v>462</v>
      </c>
      <c r="B421" s="13" t="s">
        <v>446</v>
      </c>
      <c r="C421" s="42">
        <f t="shared" ref="C421" si="271">C413</f>
        <v>0</v>
      </c>
      <c r="D421" s="166">
        <f>D388+D407</f>
        <v>16</v>
      </c>
      <c r="E421" s="42"/>
      <c r="F421" s="42"/>
      <c r="G421" s="42"/>
      <c r="H421" s="42"/>
      <c r="I421" s="42"/>
      <c r="J421" s="42"/>
      <c r="K421" s="42"/>
      <c r="L421" s="42"/>
      <c r="M421" s="42"/>
      <c r="N421" s="42"/>
      <c r="O421" s="42"/>
      <c r="P421" s="42"/>
      <c r="Q421" s="42"/>
      <c r="R421" s="42"/>
      <c r="S421" s="42"/>
      <c r="T421" s="42"/>
      <c r="U421" s="42"/>
      <c r="V421" s="42"/>
      <c r="W421" s="42"/>
      <c r="X421" s="42"/>
      <c r="Y421" s="42"/>
      <c r="Z421" s="42"/>
      <c r="AA421" s="42"/>
      <c r="AB421" s="42"/>
      <c r="AC421" s="42"/>
      <c r="AD421" s="42"/>
    </row>
    <row r="422" spans="1:30" outlineLevel="1">
      <c r="A422" s="13" t="s">
        <v>460</v>
      </c>
      <c r="B422" s="13" t="s">
        <v>285</v>
      </c>
      <c r="C422" s="42">
        <f>SUM(D422:AD422)</f>
        <v>2039.1999999999989</v>
      </c>
      <c r="D422" s="42">
        <f>D419+D421</f>
        <v>441</v>
      </c>
      <c r="E422" s="70">
        <f t="shared" ref="E422:AD422" si="272">E419+E421</f>
        <v>735</v>
      </c>
      <c r="F422" s="70">
        <f t="shared" si="272"/>
        <v>116.08</v>
      </c>
      <c r="G422" s="70">
        <f t="shared" si="272"/>
        <v>49.08</v>
      </c>
      <c r="H422" s="70">
        <f t="shared" si="272"/>
        <v>49.08</v>
      </c>
      <c r="I422" s="70">
        <f t="shared" si="272"/>
        <v>74.08</v>
      </c>
      <c r="J422" s="70">
        <f t="shared" si="272"/>
        <v>49.08</v>
      </c>
      <c r="K422" s="70">
        <f t="shared" si="272"/>
        <v>49.08</v>
      </c>
      <c r="L422" s="70">
        <f t="shared" si="272"/>
        <v>49.08</v>
      </c>
      <c r="M422" s="70">
        <f t="shared" si="272"/>
        <v>69.08</v>
      </c>
      <c r="N422" s="70">
        <f t="shared" si="272"/>
        <v>49.08</v>
      </c>
      <c r="O422" s="70">
        <f t="shared" si="272"/>
        <v>49.08</v>
      </c>
      <c r="P422" s="70">
        <f t="shared" si="272"/>
        <v>49.08</v>
      </c>
      <c r="Q422" s="70">
        <f t="shared" si="272"/>
        <v>64.08</v>
      </c>
      <c r="R422" s="70">
        <f t="shared" si="272"/>
        <v>49.08</v>
      </c>
      <c r="S422" s="70">
        <f t="shared" si="272"/>
        <v>49.08</v>
      </c>
      <c r="T422" s="70">
        <f t="shared" si="272"/>
        <v>49.08</v>
      </c>
      <c r="U422" s="70">
        <f t="shared" si="272"/>
        <v>0</v>
      </c>
      <c r="V422" s="70">
        <f t="shared" si="272"/>
        <v>0</v>
      </c>
      <c r="W422" s="70">
        <f t="shared" si="272"/>
        <v>0</v>
      </c>
      <c r="X422" s="70">
        <f t="shared" si="272"/>
        <v>0</v>
      </c>
      <c r="Y422" s="70">
        <f t="shared" si="272"/>
        <v>0</v>
      </c>
      <c r="Z422" s="70">
        <f t="shared" si="272"/>
        <v>0</v>
      </c>
      <c r="AA422" s="70">
        <f t="shared" si="272"/>
        <v>0</v>
      </c>
      <c r="AB422" s="70">
        <f t="shared" si="272"/>
        <v>0</v>
      </c>
      <c r="AC422" s="70">
        <f t="shared" si="272"/>
        <v>0</v>
      </c>
      <c r="AD422" s="70">
        <f t="shared" si="272"/>
        <v>0</v>
      </c>
    </row>
    <row r="423" spans="1:30" s="42" customFormat="1" ht="13.75" customHeight="1" outlineLevel="1">
      <c r="A423" s="75" t="s">
        <v>437</v>
      </c>
      <c r="B423" s="148" t="s">
        <v>292</v>
      </c>
      <c r="C423" s="42">
        <f>C422-C416</f>
        <v>131.43375276784627</v>
      </c>
    </row>
    <row r="424" spans="1:30" outlineLevel="1">
      <c r="A424" s="282" t="s">
        <v>585</v>
      </c>
      <c r="D424" s="15"/>
      <c r="E424" s="15"/>
      <c r="F424" s="15"/>
      <c r="G424" s="15"/>
      <c r="H424" s="15"/>
      <c r="I424" s="15"/>
      <c r="J424" s="15"/>
      <c r="K424" s="15"/>
      <c r="L424" s="15"/>
      <c r="M424" s="15"/>
      <c r="N424" s="15"/>
      <c r="O424" s="15"/>
      <c r="P424" s="15"/>
      <c r="Q424" s="15"/>
      <c r="R424" s="15"/>
      <c r="S424" s="15"/>
      <c r="T424" s="15"/>
      <c r="U424" s="15"/>
      <c r="V424" s="15"/>
      <c r="W424" s="15"/>
      <c r="X424" s="15"/>
      <c r="Y424" s="15"/>
      <c r="Z424" s="15"/>
      <c r="AA424" s="15"/>
      <c r="AB424" s="15"/>
      <c r="AC424" s="15"/>
      <c r="AD424" s="15"/>
    </row>
    <row r="425" spans="1:30" outlineLevel="1">
      <c r="C425" s="42"/>
      <c r="D425" s="42"/>
      <c r="E425" s="42"/>
      <c r="F425" s="42"/>
      <c r="G425" s="42"/>
      <c r="H425" s="42"/>
      <c r="I425" s="42"/>
      <c r="J425" s="42"/>
      <c r="K425" s="42"/>
      <c r="L425" s="42"/>
      <c r="M425" s="42"/>
      <c r="N425" s="42"/>
      <c r="O425" s="42"/>
      <c r="P425" s="42"/>
      <c r="Q425" s="42"/>
      <c r="R425" s="42"/>
      <c r="S425" s="42"/>
      <c r="T425" s="42"/>
      <c r="U425" s="42"/>
      <c r="V425" s="42"/>
      <c r="W425" s="42"/>
      <c r="X425" s="42"/>
      <c r="Y425" s="42"/>
      <c r="Z425" s="42"/>
      <c r="AA425" s="42"/>
      <c r="AB425" s="42"/>
      <c r="AC425" s="42"/>
      <c r="AD425" s="42"/>
    </row>
    <row r="426" spans="1:30" s="8" customFormat="1" ht="15.5">
      <c r="A426" s="242" t="str">
        <f>'Expected NPV &amp; Common Data'!A$36</f>
        <v>Calendar Year --&gt;</v>
      </c>
      <c r="B426" s="243" t="str">
        <f>'Expected NPV &amp; Common Data'!B$36</f>
        <v>units</v>
      </c>
      <c r="C426" s="244" t="str">
        <f>'Expected NPV &amp; Common Data'!C$36</f>
        <v>Total</v>
      </c>
      <c r="D426" s="245">
        <f>'Expected NPV &amp; Common Data'!D$36</f>
        <v>2027</v>
      </c>
      <c r="E426" s="245">
        <f>'Expected NPV &amp; Common Data'!E$36</f>
        <v>2028</v>
      </c>
      <c r="F426" s="245">
        <f>'Expected NPV &amp; Common Data'!F$36</f>
        <v>2029</v>
      </c>
      <c r="G426" s="245">
        <f>'Expected NPV &amp; Common Data'!G$36</f>
        <v>2030</v>
      </c>
      <c r="H426" s="245">
        <f>'Expected NPV &amp; Common Data'!H$36</f>
        <v>2031</v>
      </c>
      <c r="I426" s="245">
        <f>'Expected NPV &amp; Common Data'!I$36</f>
        <v>2032</v>
      </c>
      <c r="J426" s="245">
        <f>'Expected NPV &amp; Common Data'!J$36</f>
        <v>2033</v>
      </c>
      <c r="K426" s="245">
        <f>'Expected NPV &amp; Common Data'!K$36</f>
        <v>2034</v>
      </c>
      <c r="L426" s="245">
        <f>'Expected NPV &amp; Common Data'!L$36</f>
        <v>2035</v>
      </c>
      <c r="M426" s="245">
        <f>'Expected NPV &amp; Common Data'!M$36</f>
        <v>2036</v>
      </c>
      <c r="N426" s="245">
        <f>'Expected NPV &amp; Common Data'!N$36</f>
        <v>2037</v>
      </c>
      <c r="O426" s="245">
        <f>'Expected NPV &amp; Common Data'!O$36</f>
        <v>2038</v>
      </c>
      <c r="P426" s="245">
        <f>'Expected NPV &amp; Common Data'!P$36</f>
        <v>2039</v>
      </c>
      <c r="Q426" s="245">
        <f>'Expected NPV &amp; Common Data'!Q$36</f>
        <v>2040</v>
      </c>
      <c r="R426" s="245">
        <f>'Expected NPV &amp; Common Data'!R$36</f>
        <v>2041</v>
      </c>
      <c r="S426" s="245">
        <f>'Expected NPV &amp; Common Data'!S$36</f>
        <v>2042</v>
      </c>
      <c r="T426" s="245">
        <f>'Expected NPV &amp; Common Data'!T$36</f>
        <v>2043</v>
      </c>
      <c r="U426" s="245">
        <f>'Expected NPV &amp; Common Data'!U$36</f>
        <v>2044</v>
      </c>
      <c r="V426" s="245">
        <f>'Expected NPV &amp; Common Data'!V$36</f>
        <v>2045</v>
      </c>
      <c r="W426" s="245">
        <f>'Expected NPV &amp; Common Data'!W$36</f>
        <v>2046</v>
      </c>
      <c r="X426" s="245">
        <f>'Expected NPV &amp; Common Data'!X$36</f>
        <v>2047</v>
      </c>
      <c r="Y426" s="245">
        <f>'Expected NPV &amp; Common Data'!Y$36</f>
        <v>2048</v>
      </c>
      <c r="Z426" s="245">
        <f>'Expected NPV &amp; Common Data'!Z$36</f>
        <v>2049</v>
      </c>
      <c r="AA426" s="245">
        <f>'Expected NPV &amp; Common Data'!AA$36</f>
        <v>2050</v>
      </c>
      <c r="AB426" s="245">
        <f>'Expected NPV &amp; Common Data'!AB$36</f>
        <v>2051</v>
      </c>
      <c r="AC426" s="245">
        <f>'Expected NPV &amp; Common Data'!AC$36</f>
        <v>2052</v>
      </c>
      <c r="AD426" s="245">
        <f>'Expected NPV &amp; Common Data'!AD$36</f>
        <v>2053</v>
      </c>
    </row>
    <row r="427" spans="1:30" s="32" customFormat="1" ht="53.25" customHeight="1">
      <c r="A427" s="21" t="s">
        <v>14</v>
      </c>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row>
    <row r="428" spans="1:30" outlineLevel="1">
      <c r="A428" s="282" t="s">
        <v>586</v>
      </c>
      <c r="D428" s="15"/>
      <c r="E428" s="15"/>
      <c r="F428" s="15"/>
      <c r="G428" s="15"/>
      <c r="H428" s="15"/>
      <c r="I428" s="15"/>
      <c r="J428" s="15"/>
      <c r="K428" s="15"/>
      <c r="L428" s="15"/>
      <c r="M428" s="15"/>
      <c r="N428" s="15"/>
      <c r="O428" s="15"/>
      <c r="P428" s="15"/>
      <c r="Q428" s="15"/>
      <c r="R428" s="15"/>
      <c r="S428" s="15"/>
      <c r="T428" s="15"/>
      <c r="U428" s="15"/>
      <c r="V428" s="15"/>
      <c r="W428" s="15"/>
      <c r="X428" s="15"/>
      <c r="Y428" s="15"/>
      <c r="Z428" s="15"/>
      <c r="AA428" s="15"/>
      <c r="AB428" s="15"/>
      <c r="AC428" s="15"/>
      <c r="AD428" s="15"/>
    </row>
    <row r="429" spans="1:30" ht="43.25" customHeight="1">
      <c r="A429" s="23" t="s">
        <v>29</v>
      </c>
      <c r="D429" s="15"/>
      <c r="E429" s="15"/>
      <c r="F429" s="15"/>
      <c r="G429" s="15"/>
      <c r="H429" s="15"/>
      <c r="I429" s="15"/>
      <c r="J429" s="15"/>
      <c r="K429" s="15"/>
      <c r="L429" s="15"/>
      <c r="M429" s="15"/>
      <c r="N429" s="15"/>
      <c r="O429" s="15"/>
      <c r="P429" s="15"/>
      <c r="Q429" s="15"/>
      <c r="R429" s="15"/>
      <c r="S429" s="15"/>
      <c r="T429" s="15"/>
      <c r="U429" s="15"/>
      <c r="V429" s="15"/>
      <c r="W429" s="15"/>
      <c r="X429" s="15"/>
      <c r="Y429" s="15"/>
      <c r="Z429" s="15"/>
      <c r="AA429" s="15"/>
      <c r="AB429" s="15"/>
      <c r="AC429" s="15"/>
      <c r="AD429" s="15"/>
    </row>
    <row r="430" spans="1:30" s="62" customFormat="1" outlineLevel="1">
      <c r="A430" s="13" t="s">
        <v>557</v>
      </c>
      <c r="B430" s="60"/>
      <c r="C430" s="42"/>
      <c r="D430" s="61"/>
      <c r="E430" s="61"/>
      <c r="F430" s="61"/>
      <c r="G430" s="61"/>
      <c r="H430" s="61"/>
      <c r="I430" s="61"/>
      <c r="J430" s="61"/>
      <c r="K430" s="61"/>
      <c r="L430" s="61"/>
      <c r="M430" s="61"/>
      <c r="N430" s="61"/>
      <c r="O430" s="61"/>
      <c r="P430" s="61"/>
      <c r="Q430" s="61"/>
      <c r="R430" s="61"/>
      <c r="S430" s="61"/>
      <c r="T430" s="61"/>
      <c r="U430" s="61"/>
      <c r="V430" s="61"/>
      <c r="W430" s="61"/>
      <c r="X430" s="61"/>
      <c r="Y430" s="61"/>
      <c r="Z430" s="61"/>
      <c r="AA430" s="61"/>
      <c r="AB430" s="61"/>
      <c r="AC430" s="61"/>
      <c r="AD430" s="61"/>
    </row>
    <row r="431" spans="1:30" s="62" customFormat="1" outlineLevel="1">
      <c r="A431" s="50" t="str">
        <f>A115</f>
        <v>Alpha Pit</v>
      </c>
      <c r="B431" s="60"/>
      <c r="C431" s="42"/>
      <c r="D431" s="61"/>
      <c r="E431" s="61"/>
      <c r="F431" s="61"/>
      <c r="G431" s="61"/>
      <c r="H431" s="61"/>
      <c r="I431" s="61"/>
      <c r="J431" s="61"/>
      <c r="K431" s="61"/>
      <c r="L431" s="61"/>
      <c r="M431" s="61"/>
      <c r="N431" s="61"/>
      <c r="O431" s="61"/>
      <c r="P431" s="61"/>
      <c r="Q431" s="61"/>
      <c r="R431" s="61"/>
      <c r="S431" s="61"/>
      <c r="T431" s="61"/>
      <c r="U431" s="61"/>
      <c r="V431" s="61"/>
      <c r="W431" s="61"/>
      <c r="X431" s="61"/>
      <c r="Y431" s="61"/>
      <c r="Z431" s="61"/>
      <c r="AA431" s="61"/>
      <c r="AB431" s="61"/>
      <c r="AC431" s="61"/>
      <c r="AD431" s="61"/>
    </row>
    <row r="432" spans="1:30" s="45" customFormat="1" outlineLevel="1">
      <c r="A432" s="45" t="str">
        <f>A116</f>
        <v>Waste mined - Alpha Pit</v>
      </c>
      <c r="B432" s="45" t="str">
        <f>B116</f>
        <v>M dry tonnes</v>
      </c>
      <c r="C432" s="42">
        <f>SUM(D432:AD432)</f>
        <v>492</v>
      </c>
      <c r="D432" s="42">
        <f t="shared" ref="D432:AD432" si="273">D116</f>
        <v>0</v>
      </c>
      <c r="E432" s="42">
        <f t="shared" si="273"/>
        <v>37</v>
      </c>
      <c r="F432" s="42">
        <f t="shared" si="273"/>
        <v>37</v>
      </c>
      <c r="G432" s="42">
        <f t="shared" si="273"/>
        <v>35</v>
      </c>
      <c r="H432" s="42">
        <f t="shared" si="273"/>
        <v>60</v>
      </c>
      <c r="I432" s="42">
        <f t="shared" si="273"/>
        <v>60</v>
      </c>
      <c r="J432" s="42">
        <f t="shared" si="273"/>
        <v>48</v>
      </c>
      <c r="K432" s="42">
        <f t="shared" si="273"/>
        <v>38</v>
      </c>
      <c r="L432" s="42">
        <f t="shared" si="273"/>
        <v>38</v>
      </c>
      <c r="M432" s="42">
        <f t="shared" si="273"/>
        <v>38</v>
      </c>
      <c r="N432" s="42">
        <f t="shared" si="273"/>
        <v>38</v>
      </c>
      <c r="O432" s="42">
        <f t="shared" si="273"/>
        <v>38</v>
      </c>
      <c r="P432" s="42">
        <f t="shared" si="273"/>
        <v>25</v>
      </c>
      <c r="Q432" s="42">
        <f t="shared" si="273"/>
        <v>0</v>
      </c>
      <c r="R432" s="42">
        <f t="shared" si="273"/>
        <v>0</v>
      </c>
      <c r="S432" s="42">
        <f t="shared" si="273"/>
        <v>0</v>
      </c>
      <c r="T432" s="42">
        <f t="shared" si="273"/>
        <v>0</v>
      </c>
      <c r="U432" s="42">
        <f t="shared" si="273"/>
        <v>0</v>
      </c>
      <c r="V432" s="42">
        <f t="shared" si="273"/>
        <v>0</v>
      </c>
      <c r="W432" s="42">
        <f t="shared" si="273"/>
        <v>0</v>
      </c>
      <c r="X432" s="42">
        <f t="shared" si="273"/>
        <v>0</v>
      </c>
      <c r="Y432" s="42">
        <f t="shared" si="273"/>
        <v>0</v>
      </c>
      <c r="Z432" s="42">
        <f t="shared" si="273"/>
        <v>0</v>
      </c>
      <c r="AA432" s="42">
        <f t="shared" si="273"/>
        <v>0</v>
      </c>
      <c r="AB432" s="42">
        <f t="shared" si="273"/>
        <v>0</v>
      </c>
      <c r="AC432" s="42">
        <f t="shared" si="273"/>
        <v>0</v>
      </c>
      <c r="AD432" s="42">
        <f t="shared" si="273"/>
        <v>0</v>
      </c>
    </row>
    <row r="433" spans="1:30" outlineLevel="1">
      <c r="A433" s="283" t="s">
        <v>294</v>
      </c>
      <c r="B433" s="13" t="s">
        <v>451</v>
      </c>
      <c r="C433" s="42"/>
      <c r="D433" s="61"/>
      <c r="E433" s="284">
        <v>5</v>
      </c>
      <c r="F433" s="284">
        <f t="shared" ref="F433:O433" si="274">E433+0.05</f>
        <v>5.05</v>
      </c>
      <c r="G433" s="284">
        <f t="shared" si="274"/>
        <v>5.0999999999999996</v>
      </c>
      <c r="H433" s="284">
        <f t="shared" si="274"/>
        <v>5.1499999999999995</v>
      </c>
      <c r="I433" s="284">
        <f t="shared" si="274"/>
        <v>5.1999999999999993</v>
      </c>
      <c r="J433" s="284">
        <f t="shared" si="274"/>
        <v>5.2499999999999991</v>
      </c>
      <c r="K433" s="284">
        <f t="shared" si="274"/>
        <v>5.2999999999999989</v>
      </c>
      <c r="L433" s="284">
        <f t="shared" si="274"/>
        <v>5.3499999999999988</v>
      </c>
      <c r="M433" s="284">
        <f t="shared" si="274"/>
        <v>5.3999999999999986</v>
      </c>
      <c r="N433" s="284">
        <f t="shared" si="274"/>
        <v>5.4499999999999984</v>
      </c>
      <c r="O433" s="284">
        <f t="shared" si="274"/>
        <v>5.4999999999999982</v>
      </c>
      <c r="P433" s="284">
        <f t="shared" ref="P433:AD433" si="275">O433</f>
        <v>5.4999999999999982</v>
      </c>
      <c r="Q433" s="284">
        <f t="shared" si="275"/>
        <v>5.4999999999999982</v>
      </c>
      <c r="R433" s="284">
        <f t="shared" si="275"/>
        <v>5.4999999999999982</v>
      </c>
      <c r="S433" s="284">
        <f t="shared" si="275"/>
        <v>5.4999999999999982</v>
      </c>
      <c r="T433" s="284">
        <f t="shared" si="275"/>
        <v>5.4999999999999982</v>
      </c>
      <c r="U433" s="284">
        <f t="shared" si="275"/>
        <v>5.4999999999999982</v>
      </c>
      <c r="V433" s="284">
        <f t="shared" si="275"/>
        <v>5.4999999999999982</v>
      </c>
      <c r="W433" s="284">
        <f t="shared" si="275"/>
        <v>5.4999999999999982</v>
      </c>
      <c r="X433" s="284">
        <f t="shared" si="275"/>
        <v>5.4999999999999982</v>
      </c>
      <c r="Y433" s="284">
        <f t="shared" si="275"/>
        <v>5.4999999999999982</v>
      </c>
      <c r="Z433" s="284">
        <f t="shared" si="275"/>
        <v>5.4999999999999982</v>
      </c>
      <c r="AA433" s="284">
        <f t="shared" si="275"/>
        <v>5.4999999999999982</v>
      </c>
      <c r="AB433" s="284">
        <f t="shared" si="275"/>
        <v>5.4999999999999982</v>
      </c>
      <c r="AC433" s="284">
        <f t="shared" si="275"/>
        <v>5.4999999999999982</v>
      </c>
      <c r="AD433" s="284">
        <f t="shared" si="275"/>
        <v>5.4999999999999982</v>
      </c>
    </row>
    <row r="434" spans="1:30" s="45" customFormat="1" outlineLevel="1">
      <c r="A434" s="45" t="s">
        <v>296</v>
      </c>
      <c r="B434" s="45" t="s">
        <v>285</v>
      </c>
      <c r="C434" s="42">
        <f>SUM(D434:AD434)</f>
        <v>2586.8499999999995</v>
      </c>
      <c r="D434" s="42"/>
      <c r="E434" s="42">
        <f t="shared" ref="E434:AD434" si="276">E432*E433</f>
        <v>185</v>
      </c>
      <c r="F434" s="42">
        <f t="shared" si="276"/>
        <v>186.85</v>
      </c>
      <c r="G434" s="42">
        <f t="shared" si="276"/>
        <v>178.5</v>
      </c>
      <c r="H434" s="42">
        <f t="shared" si="276"/>
        <v>308.99999999999994</v>
      </c>
      <c r="I434" s="42">
        <f t="shared" si="276"/>
        <v>311.99999999999994</v>
      </c>
      <c r="J434" s="42">
        <f t="shared" si="276"/>
        <v>251.99999999999994</v>
      </c>
      <c r="K434" s="42">
        <f t="shared" si="276"/>
        <v>201.39999999999995</v>
      </c>
      <c r="L434" s="42">
        <f t="shared" si="276"/>
        <v>203.29999999999995</v>
      </c>
      <c r="M434" s="42">
        <f t="shared" si="276"/>
        <v>205.19999999999993</v>
      </c>
      <c r="N434" s="42">
        <f t="shared" si="276"/>
        <v>207.09999999999994</v>
      </c>
      <c r="O434" s="42">
        <f t="shared" si="276"/>
        <v>208.99999999999994</v>
      </c>
      <c r="P434" s="42">
        <f t="shared" si="276"/>
        <v>137.49999999999994</v>
      </c>
      <c r="Q434" s="42">
        <f t="shared" si="276"/>
        <v>0</v>
      </c>
      <c r="R434" s="42">
        <f t="shared" si="276"/>
        <v>0</v>
      </c>
      <c r="S434" s="42">
        <f t="shared" si="276"/>
        <v>0</v>
      </c>
      <c r="T434" s="42">
        <f t="shared" si="276"/>
        <v>0</v>
      </c>
      <c r="U434" s="42">
        <f t="shared" si="276"/>
        <v>0</v>
      </c>
      <c r="V434" s="42">
        <f t="shared" si="276"/>
        <v>0</v>
      </c>
      <c r="W434" s="42">
        <f t="shared" si="276"/>
        <v>0</v>
      </c>
      <c r="X434" s="42">
        <f t="shared" si="276"/>
        <v>0</v>
      </c>
      <c r="Y434" s="42">
        <f t="shared" si="276"/>
        <v>0</v>
      </c>
      <c r="Z434" s="42">
        <f t="shared" si="276"/>
        <v>0</v>
      </c>
      <c r="AA434" s="42">
        <f t="shared" si="276"/>
        <v>0</v>
      </c>
      <c r="AB434" s="42">
        <f t="shared" si="276"/>
        <v>0</v>
      </c>
      <c r="AC434" s="42">
        <f t="shared" si="276"/>
        <v>0</v>
      </c>
      <c r="AD434" s="42">
        <f t="shared" si="276"/>
        <v>0</v>
      </c>
    </row>
    <row r="435" spans="1:30" s="45" customFormat="1" outlineLevel="1">
      <c r="C435" s="42"/>
      <c r="D435" s="42"/>
      <c r="E435" s="42"/>
      <c r="F435" s="42"/>
      <c r="G435" s="42"/>
      <c r="H435" s="42"/>
      <c r="I435" s="42"/>
      <c r="J435" s="42"/>
      <c r="K435" s="42"/>
      <c r="L435" s="42"/>
      <c r="M435" s="42"/>
      <c r="N435" s="42"/>
      <c r="O435" s="42"/>
      <c r="P435" s="42"/>
      <c r="Q435" s="42"/>
      <c r="R435" s="42"/>
      <c r="S435" s="42"/>
      <c r="T435" s="42"/>
      <c r="U435" s="42"/>
      <c r="V435" s="42"/>
      <c r="W435" s="42"/>
      <c r="X435" s="42"/>
      <c r="Y435" s="42"/>
      <c r="Z435" s="42"/>
      <c r="AA435" s="42"/>
      <c r="AB435" s="42"/>
      <c r="AC435" s="42"/>
      <c r="AD435" s="42"/>
    </row>
    <row r="436" spans="1:30" s="45" customFormat="1" outlineLevel="1">
      <c r="A436" s="45" t="str">
        <f>A117</f>
        <v>Ore mined - Alpha Pit</v>
      </c>
      <c r="B436" s="45" t="str">
        <f>B117</f>
        <v>M dry tonnes</v>
      </c>
      <c r="C436" s="42">
        <f>SUM(D436:AD436)</f>
        <v>58</v>
      </c>
      <c r="D436" s="42">
        <f t="shared" ref="D436:AD436" si="277">D117</f>
        <v>0</v>
      </c>
      <c r="E436" s="42">
        <f t="shared" si="277"/>
        <v>0</v>
      </c>
      <c r="F436" s="42">
        <f t="shared" si="277"/>
        <v>6</v>
      </c>
      <c r="G436" s="42">
        <f t="shared" si="277"/>
        <v>8</v>
      </c>
      <c r="H436" s="42">
        <f t="shared" si="277"/>
        <v>8</v>
      </c>
      <c r="I436" s="42">
        <f t="shared" si="277"/>
        <v>8</v>
      </c>
      <c r="J436" s="42">
        <f t="shared" si="277"/>
        <v>8</v>
      </c>
      <c r="K436" s="42">
        <f t="shared" si="277"/>
        <v>5</v>
      </c>
      <c r="L436" s="42">
        <f t="shared" si="277"/>
        <v>3</v>
      </c>
      <c r="M436" s="42">
        <f t="shared" si="277"/>
        <v>3</v>
      </c>
      <c r="N436" s="42">
        <f t="shared" si="277"/>
        <v>3</v>
      </c>
      <c r="O436" s="42">
        <f t="shared" si="277"/>
        <v>3</v>
      </c>
      <c r="P436" s="42">
        <f t="shared" si="277"/>
        <v>3</v>
      </c>
      <c r="Q436" s="42">
        <f t="shared" si="277"/>
        <v>0</v>
      </c>
      <c r="R436" s="42">
        <f t="shared" si="277"/>
        <v>0</v>
      </c>
      <c r="S436" s="42">
        <f t="shared" si="277"/>
        <v>0</v>
      </c>
      <c r="T436" s="42">
        <f t="shared" si="277"/>
        <v>0</v>
      </c>
      <c r="U436" s="42">
        <f t="shared" si="277"/>
        <v>0</v>
      </c>
      <c r="V436" s="42">
        <f t="shared" si="277"/>
        <v>0</v>
      </c>
      <c r="W436" s="42">
        <f t="shared" si="277"/>
        <v>0</v>
      </c>
      <c r="X436" s="42">
        <f t="shared" si="277"/>
        <v>0</v>
      </c>
      <c r="Y436" s="42">
        <f t="shared" si="277"/>
        <v>0</v>
      </c>
      <c r="Z436" s="42">
        <f t="shared" si="277"/>
        <v>0</v>
      </c>
      <c r="AA436" s="42">
        <f t="shared" si="277"/>
        <v>0</v>
      </c>
      <c r="AB436" s="42">
        <f t="shared" si="277"/>
        <v>0</v>
      </c>
      <c r="AC436" s="42">
        <f t="shared" si="277"/>
        <v>0</v>
      </c>
      <c r="AD436" s="42">
        <f t="shared" si="277"/>
        <v>0</v>
      </c>
    </row>
    <row r="437" spans="1:30" outlineLevel="1">
      <c r="A437" s="283" t="s">
        <v>295</v>
      </c>
      <c r="B437" s="13" t="s">
        <v>451</v>
      </c>
      <c r="C437" s="42"/>
      <c r="D437" s="61"/>
      <c r="E437" s="284"/>
      <c r="F437" s="284">
        <v>6</v>
      </c>
      <c r="G437" s="284">
        <f t="shared" ref="G437:P437" si="278">F437+0.05</f>
        <v>6.05</v>
      </c>
      <c r="H437" s="284">
        <f t="shared" si="278"/>
        <v>6.1</v>
      </c>
      <c r="I437" s="284">
        <f t="shared" si="278"/>
        <v>6.1499999999999995</v>
      </c>
      <c r="J437" s="284">
        <f t="shared" si="278"/>
        <v>6.1999999999999993</v>
      </c>
      <c r="K437" s="284">
        <f t="shared" si="278"/>
        <v>6.2499999999999991</v>
      </c>
      <c r="L437" s="284">
        <f t="shared" si="278"/>
        <v>6.2999999999999989</v>
      </c>
      <c r="M437" s="284">
        <f t="shared" si="278"/>
        <v>6.3499999999999988</v>
      </c>
      <c r="N437" s="284">
        <f t="shared" si="278"/>
        <v>6.3999999999999986</v>
      </c>
      <c r="O437" s="284">
        <f t="shared" si="278"/>
        <v>6.4499999999999984</v>
      </c>
      <c r="P437" s="284">
        <f t="shared" si="278"/>
        <v>6.4999999999999982</v>
      </c>
      <c r="Q437" s="284">
        <f t="shared" ref="Q437:AD437" si="279">P437</f>
        <v>6.4999999999999982</v>
      </c>
      <c r="R437" s="284">
        <f t="shared" si="279"/>
        <v>6.4999999999999982</v>
      </c>
      <c r="S437" s="284">
        <f t="shared" si="279"/>
        <v>6.4999999999999982</v>
      </c>
      <c r="T437" s="284">
        <f t="shared" si="279"/>
        <v>6.4999999999999982</v>
      </c>
      <c r="U437" s="284">
        <f t="shared" si="279"/>
        <v>6.4999999999999982</v>
      </c>
      <c r="V437" s="284">
        <f t="shared" si="279"/>
        <v>6.4999999999999982</v>
      </c>
      <c r="W437" s="284">
        <f t="shared" si="279"/>
        <v>6.4999999999999982</v>
      </c>
      <c r="X437" s="284">
        <f t="shared" si="279"/>
        <v>6.4999999999999982</v>
      </c>
      <c r="Y437" s="284">
        <f t="shared" si="279"/>
        <v>6.4999999999999982</v>
      </c>
      <c r="Z437" s="284">
        <f t="shared" si="279"/>
        <v>6.4999999999999982</v>
      </c>
      <c r="AA437" s="284">
        <f t="shared" si="279"/>
        <v>6.4999999999999982</v>
      </c>
      <c r="AB437" s="284">
        <f t="shared" si="279"/>
        <v>6.4999999999999982</v>
      </c>
      <c r="AC437" s="284">
        <f t="shared" si="279"/>
        <v>6.4999999999999982</v>
      </c>
      <c r="AD437" s="284">
        <f t="shared" si="279"/>
        <v>6.4999999999999982</v>
      </c>
    </row>
    <row r="438" spans="1:30" s="45" customFormat="1" outlineLevel="1">
      <c r="A438" s="45" t="s">
        <v>297</v>
      </c>
      <c r="B438" s="45" t="s">
        <v>285</v>
      </c>
      <c r="C438" s="42">
        <f>SUM(D438:AD438)</f>
        <v>359.24999999999989</v>
      </c>
      <c r="D438" s="42"/>
      <c r="E438" s="42">
        <f t="shared" ref="E438:AD438" si="280">E436*E437</f>
        <v>0</v>
      </c>
      <c r="F438" s="42">
        <f t="shared" si="280"/>
        <v>36</v>
      </c>
      <c r="G438" s="42">
        <f t="shared" si="280"/>
        <v>48.4</v>
      </c>
      <c r="H438" s="42">
        <f t="shared" si="280"/>
        <v>48.8</v>
      </c>
      <c r="I438" s="42">
        <f t="shared" si="280"/>
        <v>49.199999999999996</v>
      </c>
      <c r="J438" s="42">
        <f t="shared" si="280"/>
        <v>49.599999999999994</v>
      </c>
      <c r="K438" s="42">
        <f t="shared" si="280"/>
        <v>31.249999999999996</v>
      </c>
      <c r="L438" s="42">
        <f t="shared" si="280"/>
        <v>18.899999999999999</v>
      </c>
      <c r="M438" s="42">
        <f t="shared" si="280"/>
        <v>19.049999999999997</v>
      </c>
      <c r="N438" s="42">
        <f t="shared" si="280"/>
        <v>19.199999999999996</v>
      </c>
      <c r="O438" s="42">
        <f t="shared" si="280"/>
        <v>19.349999999999994</v>
      </c>
      <c r="P438" s="42">
        <f t="shared" si="280"/>
        <v>19.499999999999993</v>
      </c>
      <c r="Q438" s="42">
        <f t="shared" si="280"/>
        <v>0</v>
      </c>
      <c r="R438" s="42">
        <f t="shared" si="280"/>
        <v>0</v>
      </c>
      <c r="S438" s="42">
        <f t="shared" si="280"/>
        <v>0</v>
      </c>
      <c r="T438" s="42">
        <f t="shared" si="280"/>
        <v>0</v>
      </c>
      <c r="U438" s="42">
        <f t="shared" si="280"/>
        <v>0</v>
      </c>
      <c r="V438" s="42">
        <f t="shared" si="280"/>
        <v>0</v>
      </c>
      <c r="W438" s="42">
        <f t="shared" si="280"/>
        <v>0</v>
      </c>
      <c r="X438" s="42">
        <f t="shared" si="280"/>
        <v>0</v>
      </c>
      <c r="Y438" s="42">
        <f t="shared" si="280"/>
        <v>0</v>
      </c>
      <c r="Z438" s="42">
        <f t="shared" si="280"/>
        <v>0</v>
      </c>
      <c r="AA438" s="42">
        <f t="shared" si="280"/>
        <v>0</v>
      </c>
      <c r="AB438" s="42">
        <f t="shared" si="280"/>
        <v>0</v>
      </c>
      <c r="AC438" s="42">
        <f t="shared" si="280"/>
        <v>0</v>
      </c>
      <c r="AD438" s="42">
        <f t="shared" si="280"/>
        <v>0</v>
      </c>
    </row>
    <row r="439" spans="1:30" s="45" customFormat="1" outlineLevel="1">
      <c r="C439" s="42"/>
      <c r="D439" s="42"/>
      <c r="E439" s="42"/>
      <c r="F439" s="42"/>
      <c r="G439" s="42"/>
      <c r="H439" s="42"/>
      <c r="I439" s="42"/>
      <c r="J439" s="42"/>
      <c r="K439" s="42"/>
      <c r="L439" s="42"/>
      <c r="M439" s="42"/>
      <c r="N439" s="42"/>
      <c r="O439" s="42"/>
      <c r="P439" s="42"/>
      <c r="Q439" s="42"/>
      <c r="R439" s="42"/>
      <c r="S439" s="42"/>
      <c r="T439" s="42"/>
      <c r="U439" s="42"/>
      <c r="V439" s="42"/>
      <c r="W439" s="42"/>
      <c r="X439" s="42"/>
      <c r="Y439" s="42"/>
      <c r="Z439" s="42"/>
      <c r="AA439" s="42"/>
      <c r="AB439" s="42"/>
      <c r="AC439" s="42"/>
      <c r="AD439" s="42"/>
    </row>
    <row r="440" spans="1:30" s="45" customFormat="1" outlineLevel="1">
      <c r="A440" s="45" t="s">
        <v>298</v>
      </c>
      <c r="B440" s="45" t="s">
        <v>285</v>
      </c>
      <c r="C440" s="42">
        <f>SUM(D440:AD440)</f>
        <v>2946.0999999999995</v>
      </c>
      <c r="D440" s="70">
        <f t="shared" ref="D440:AD440" si="281">D434+D438</f>
        <v>0</v>
      </c>
      <c r="E440" s="70">
        <f t="shared" si="281"/>
        <v>185</v>
      </c>
      <c r="F440" s="70">
        <f t="shared" si="281"/>
        <v>222.85</v>
      </c>
      <c r="G440" s="70">
        <f t="shared" si="281"/>
        <v>226.9</v>
      </c>
      <c r="H440" s="70">
        <f t="shared" si="281"/>
        <v>357.79999999999995</v>
      </c>
      <c r="I440" s="70">
        <f t="shared" si="281"/>
        <v>361.19999999999993</v>
      </c>
      <c r="J440" s="70">
        <f t="shared" si="281"/>
        <v>301.59999999999991</v>
      </c>
      <c r="K440" s="70">
        <f t="shared" si="281"/>
        <v>232.64999999999995</v>
      </c>
      <c r="L440" s="70">
        <f t="shared" si="281"/>
        <v>222.19999999999996</v>
      </c>
      <c r="M440" s="70">
        <f t="shared" si="281"/>
        <v>224.24999999999994</v>
      </c>
      <c r="N440" s="70">
        <f t="shared" si="281"/>
        <v>226.29999999999993</v>
      </c>
      <c r="O440" s="70">
        <f t="shared" si="281"/>
        <v>228.34999999999994</v>
      </c>
      <c r="P440" s="70">
        <f t="shared" si="281"/>
        <v>156.99999999999994</v>
      </c>
      <c r="Q440" s="70">
        <f t="shared" si="281"/>
        <v>0</v>
      </c>
      <c r="R440" s="70">
        <f t="shared" si="281"/>
        <v>0</v>
      </c>
      <c r="S440" s="70">
        <f t="shared" si="281"/>
        <v>0</v>
      </c>
      <c r="T440" s="70">
        <f t="shared" si="281"/>
        <v>0</v>
      </c>
      <c r="U440" s="70">
        <f t="shared" si="281"/>
        <v>0</v>
      </c>
      <c r="V440" s="70">
        <f t="shared" si="281"/>
        <v>0</v>
      </c>
      <c r="W440" s="70">
        <f t="shared" si="281"/>
        <v>0</v>
      </c>
      <c r="X440" s="70">
        <f t="shared" si="281"/>
        <v>0</v>
      </c>
      <c r="Y440" s="70">
        <f t="shared" si="281"/>
        <v>0</v>
      </c>
      <c r="Z440" s="70">
        <f t="shared" si="281"/>
        <v>0</v>
      </c>
      <c r="AA440" s="70">
        <f t="shared" si="281"/>
        <v>0</v>
      </c>
      <c r="AB440" s="70">
        <f t="shared" si="281"/>
        <v>0</v>
      </c>
      <c r="AC440" s="70">
        <f t="shared" si="281"/>
        <v>0</v>
      </c>
      <c r="AD440" s="70">
        <f t="shared" si="281"/>
        <v>0</v>
      </c>
    </row>
    <row r="441" spans="1:30" s="45" customFormat="1" outlineLevel="1">
      <c r="C441" s="42"/>
      <c r="D441" s="42"/>
      <c r="E441" s="42"/>
      <c r="F441" s="42"/>
      <c r="G441" s="42"/>
      <c r="H441" s="42"/>
      <c r="I441" s="42"/>
      <c r="J441" s="42"/>
      <c r="K441" s="42"/>
      <c r="L441" s="42"/>
      <c r="M441" s="42"/>
      <c r="N441" s="42"/>
      <c r="O441" s="42"/>
      <c r="P441" s="42"/>
      <c r="Q441" s="42"/>
      <c r="R441" s="42"/>
      <c r="S441" s="42"/>
      <c r="T441" s="42"/>
      <c r="U441" s="42"/>
      <c r="V441" s="42"/>
      <c r="W441" s="42"/>
      <c r="X441" s="42"/>
      <c r="Y441" s="42"/>
      <c r="Z441" s="42"/>
      <c r="AA441" s="42"/>
      <c r="AB441" s="42"/>
      <c r="AC441" s="42"/>
      <c r="AD441" s="42"/>
    </row>
    <row r="442" spans="1:30" s="62" customFormat="1" outlineLevel="1">
      <c r="A442" s="50" t="str">
        <f>A128</f>
        <v>Beta Pit</v>
      </c>
      <c r="B442" s="60"/>
      <c r="C442" s="42"/>
      <c r="D442" s="61"/>
      <c r="E442" s="61"/>
      <c r="F442" s="61"/>
      <c r="G442" s="61"/>
      <c r="H442" s="61"/>
      <c r="I442" s="61"/>
      <c r="J442" s="61"/>
      <c r="K442" s="61"/>
      <c r="L442" s="61"/>
      <c r="M442" s="61"/>
      <c r="N442" s="61"/>
      <c r="O442" s="61"/>
      <c r="P442" s="61"/>
      <c r="Q442" s="61"/>
      <c r="R442" s="61"/>
      <c r="S442" s="61"/>
      <c r="T442" s="61"/>
      <c r="U442" s="61"/>
      <c r="V442" s="61"/>
      <c r="W442" s="61"/>
      <c r="X442" s="61"/>
      <c r="Y442" s="61"/>
      <c r="Z442" s="61"/>
      <c r="AA442" s="61"/>
      <c r="AB442" s="61"/>
      <c r="AC442" s="61"/>
      <c r="AD442" s="61"/>
    </row>
    <row r="443" spans="1:30" s="45" customFormat="1" outlineLevel="1">
      <c r="A443" s="45" t="str">
        <f>A129</f>
        <v>Waste mined - Beta Pit</v>
      </c>
      <c r="B443" s="45" t="str">
        <f>B129</f>
        <v>M dry tonnes</v>
      </c>
      <c r="C443" s="42">
        <f>SUM(D443:AD443)</f>
        <v>547</v>
      </c>
      <c r="D443" s="42">
        <f t="shared" ref="D443:AD443" si="282">D129</f>
        <v>0</v>
      </c>
      <c r="E443" s="42">
        <f t="shared" si="282"/>
        <v>0</v>
      </c>
      <c r="F443" s="42">
        <f t="shared" si="282"/>
        <v>0</v>
      </c>
      <c r="G443" s="42">
        <f t="shared" si="282"/>
        <v>0</v>
      </c>
      <c r="H443" s="42">
        <f t="shared" si="282"/>
        <v>0</v>
      </c>
      <c r="I443" s="42">
        <f t="shared" si="282"/>
        <v>0</v>
      </c>
      <c r="J443" s="42">
        <f t="shared" si="282"/>
        <v>42</v>
      </c>
      <c r="K443" s="42">
        <f t="shared" si="282"/>
        <v>52</v>
      </c>
      <c r="L443" s="42">
        <f t="shared" si="282"/>
        <v>52</v>
      </c>
      <c r="M443" s="42">
        <f t="shared" si="282"/>
        <v>52</v>
      </c>
      <c r="N443" s="42">
        <f t="shared" si="282"/>
        <v>52</v>
      </c>
      <c r="O443" s="42">
        <f t="shared" si="282"/>
        <v>52</v>
      </c>
      <c r="P443" s="42">
        <f t="shared" si="282"/>
        <v>65</v>
      </c>
      <c r="Q443" s="42">
        <f t="shared" si="282"/>
        <v>65</v>
      </c>
      <c r="R443" s="42">
        <f t="shared" si="282"/>
        <v>65</v>
      </c>
      <c r="S443" s="42">
        <f t="shared" si="282"/>
        <v>50</v>
      </c>
      <c r="T443" s="42">
        <f t="shared" si="282"/>
        <v>0</v>
      </c>
      <c r="U443" s="42">
        <f t="shared" si="282"/>
        <v>0</v>
      </c>
      <c r="V443" s="42">
        <f t="shared" si="282"/>
        <v>0</v>
      </c>
      <c r="W443" s="42">
        <f t="shared" si="282"/>
        <v>0</v>
      </c>
      <c r="X443" s="42">
        <f t="shared" si="282"/>
        <v>0</v>
      </c>
      <c r="Y443" s="42">
        <f t="shared" si="282"/>
        <v>0</v>
      </c>
      <c r="Z443" s="42">
        <f t="shared" si="282"/>
        <v>0</v>
      </c>
      <c r="AA443" s="42">
        <f t="shared" si="282"/>
        <v>0</v>
      </c>
      <c r="AB443" s="42">
        <f t="shared" si="282"/>
        <v>0</v>
      </c>
      <c r="AC443" s="42">
        <f t="shared" si="282"/>
        <v>0</v>
      </c>
      <c r="AD443" s="42">
        <f t="shared" si="282"/>
        <v>0</v>
      </c>
    </row>
    <row r="444" spans="1:30" outlineLevel="1">
      <c r="A444" s="283" t="s">
        <v>299</v>
      </c>
      <c r="B444" s="13" t="s">
        <v>451</v>
      </c>
      <c r="C444" s="42"/>
      <c r="D444" s="61"/>
      <c r="E444" s="284"/>
      <c r="F444" s="284"/>
      <c r="G444" s="284"/>
      <c r="H444" s="284"/>
      <c r="I444" s="284"/>
      <c r="J444" s="284">
        <v>3.4</v>
      </c>
      <c r="K444" s="284">
        <f t="shared" ref="K444:S444" si="283">J444+0.05</f>
        <v>3.4499999999999997</v>
      </c>
      <c r="L444" s="284">
        <f t="shared" si="283"/>
        <v>3.4999999999999996</v>
      </c>
      <c r="M444" s="284">
        <f t="shared" si="283"/>
        <v>3.5499999999999994</v>
      </c>
      <c r="N444" s="284">
        <f t="shared" si="283"/>
        <v>3.5999999999999992</v>
      </c>
      <c r="O444" s="284">
        <f t="shared" si="283"/>
        <v>3.649999999999999</v>
      </c>
      <c r="P444" s="284">
        <f t="shared" si="283"/>
        <v>3.6999999999999988</v>
      </c>
      <c r="Q444" s="284">
        <f t="shared" si="283"/>
        <v>3.7499999999999987</v>
      </c>
      <c r="R444" s="284">
        <f t="shared" si="283"/>
        <v>3.7999999999999985</v>
      </c>
      <c r="S444" s="284">
        <f t="shared" si="283"/>
        <v>3.8499999999999983</v>
      </c>
      <c r="T444" s="284">
        <f t="shared" ref="T444:AD444" si="284">S444</f>
        <v>3.8499999999999983</v>
      </c>
      <c r="U444" s="284">
        <f t="shared" si="284"/>
        <v>3.8499999999999983</v>
      </c>
      <c r="V444" s="284">
        <f t="shared" si="284"/>
        <v>3.8499999999999983</v>
      </c>
      <c r="W444" s="284">
        <f t="shared" si="284"/>
        <v>3.8499999999999983</v>
      </c>
      <c r="X444" s="284">
        <f t="shared" si="284"/>
        <v>3.8499999999999983</v>
      </c>
      <c r="Y444" s="284">
        <f t="shared" si="284"/>
        <v>3.8499999999999983</v>
      </c>
      <c r="Z444" s="284">
        <f t="shared" si="284"/>
        <v>3.8499999999999983</v>
      </c>
      <c r="AA444" s="284">
        <f t="shared" si="284"/>
        <v>3.8499999999999983</v>
      </c>
      <c r="AB444" s="284">
        <f t="shared" si="284"/>
        <v>3.8499999999999983</v>
      </c>
      <c r="AC444" s="284">
        <f t="shared" si="284"/>
        <v>3.8499999999999983</v>
      </c>
      <c r="AD444" s="284">
        <f t="shared" si="284"/>
        <v>3.8499999999999983</v>
      </c>
    </row>
    <row r="445" spans="1:30" s="45" customFormat="1" outlineLevel="1">
      <c r="A445" s="45" t="s">
        <v>296</v>
      </c>
      <c r="B445" s="45" t="s">
        <v>285</v>
      </c>
      <c r="C445" s="42">
        <f>SUM(D445:AD445)</f>
        <v>1989.5499999999997</v>
      </c>
      <c r="D445" s="42"/>
      <c r="E445" s="42">
        <f t="shared" ref="E445:AD445" si="285">E443*E444</f>
        <v>0</v>
      </c>
      <c r="F445" s="42">
        <f t="shared" si="285"/>
        <v>0</v>
      </c>
      <c r="G445" s="42">
        <f t="shared" si="285"/>
        <v>0</v>
      </c>
      <c r="H445" s="42">
        <f t="shared" si="285"/>
        <v>0</v>
      </c>
      <c r="I445" s="42">
        <f t="shared" si="285"/>
        <v>0</v>
      </c>
      <c r="J445" s="42">
        <f t="shared" si="285"/>
        <v>142.79999999999998</v>
      </c>
      <c r="K445" s="42">
        <f t="shared" si="285"/>
        <v>179.39999999999998</v>
      </c>
      <c r="L445" s="42">
        <f t="shared" si="285"/>
        <v>181.99999999999997</v>
      </c>
      <c r="M445" s="42">
        <f t="shared" si="285"/>
        <v>184.59999999999997</v>
      </c>
      <c r="N445" s="42">
        <f t="shared" si="285"/>
        <v>187.19999999999996</v>
      </c>
      <c r="O445" s="42">
        <f t="shared" si="285"/>
        <v>189.79999999999995</v>
      </c>
      <c r="P445" s="42">
        <f t="shared" si="285"/>
        <v>240.49999999999991</v>
      </c>
      <c r="Q445" s="42">
        <f t="shared" si="285"/>
        <v>243.74999999999991</v>
      </c>
      <c r="R445" s="42">
        <f t="shared" si="285"/>
        <v>246.99999999999991</v>
      </c>
      <c r="S445" s="42">
        <f t="shared" si="285"/>
        <v>192.49999999999991</v>
      </c>
      <c r="T445" s="42">
        <f t="shared" si="285"/>
        <v>0</v>
      </c>
      <c r="U445" s="42">
        <f t="shared" si="285"/>
        <v>0</v>
      </c>
      <c r="V445" s="42">
        <f t="shared" si="285"/>
        <v>0</v>
      </c>
      <c r="W445" s="42">
        <f t="shared" si="285"/>
        <v>0</v>
      </c>
      <c r="X445" s="42">
        <f t="shared" si="285"/>
        <v>0</v>
      </c>
      <c r="Y445" s="42">
        <f t="shared" si="285"/>
        <v>0</v>
      </c>
      <c r="Z445" s="42">
        <f t="shared" si="285"/>
        <v>0</v>
      </c>
      <c r="AA445" s="42">
        <f t="shared" si="285"/>
        <v>0</v>
      </c>
      <c r="AB445" s="42">
        <f t="shared" si="285"/>
        <v>0</v>
      </c>
      <c r="AC445" s="42">
        <f t="shared" si="285"/>
        <v>0</v>
      </c>
      <c r="AD445" s="42">
        <f t="shared" si="285"/>
        <v>0</v>
      </c>
    </row>
    <row r="446" spans="1:30" s="45" customFormat="1" outlineLevel="1">
      <c r="C446" s="42"/>
      <c r="D446" s="42"/>
      <c r="E446" s="42"/>
      <c r="F446" s="42"/>
      <c r="G446" s="42"/>
      <c r="H446" s="42"/>
      <c r="I446" s="42"/>
      <c r="J446" s="42"/>
      <c r="K446" s="42"/>
      <c r="L446" s="42"/>
      <c r="M446" s="42"/>
      <c r="N446" s="42"/>
      <c r="O446" s="42"/>
      <c r="P446" s="42"/>
      <c r="Q446" s="42"/>
      <c r="R446" s="42"/>
      <c r="S446" s="42"/>
      <c r="T446" s="42"/>
      <c r="U446" s="42"/>
      <c r="V446" s="42"/>
      <c r="W446" s="42"/>
      <c r="X446" s="42"/>
      <c r="Y446" s="42"/>
      <c r="Z446" s="42"/>
      <c r="AA446" s="42"/>
      <c r="AB446" s="42"/>
      <c r="AC446" s="42"/>
      <c r="AD446" s="42"/>
    </row>
    <row r="447" spans="1:30" s="45" customFormat="1" outlineLevel="1">
      <c r="A447" s="45" t="str">
        <f>A130</f>
        <v>Ore mined - Beta Pit</v>
      </c>
      <c r="B447" s="45" t="str">
        <f>B130</f>
        <v>M dry tonnes</v>
      </c>
      <c r="C447" s="42">
        <f>SUM(D447:AD447)</f>
        <v>60</v>
      </c>
      <c r="D447" s="42">
        <f t="shared" ref="D447:AD447" si="286">D130</f>
        <v>0</v>
      </c>
      <c r="E447" s="42">
        <f t="shared" si="286"/>
        <v>0</v>
      </c>
      <c r="F447" s="42">
        <f t="shared" si="286"/>
        <v>0</v>
      </c>
      <c r="G447" s="42">
        <f t="shared" si="286"/>
        <v>0</v>
      </c>
      <c r="H447" s="42">
        <f t="shared" si="286"/>
        <v>0</v>
      </c>
      <c r="I447" s="42">
        <f t="shared" si="286"/>
        <v>0</v>
      </c>
      <c r="J447" s="42">
        <f t="shared" si="286"/>
        <v>0</v>
      </c>
      <c r="K447" s="42">
        <f t="shared" si="286"/>
        <v>3</v>
      </c>
      <c r="L447" s="42">
        <f t="shared" si="286"/>
        <v>5</v>
      </c>
      <c r="M447" s="42">
        <f t="shared" si="286"/>
        <v>5</v>
      </c>
      <c r="N447" s="42">
        <f t="shared" si="286"/>
        <v>5</v>
      </c>
      <c r="O447" s="42">
        <f t="shared" si="286"/>
        <v>5</v>
      </c>
      <c r="P447" s="42">
        <f t="shared" si="286"/>
        <v>5</v>
      </c>
      <c r="Q447" s="42">
        <f t="shared" si="286"/>
        <v>8</v>
      </c>
      <c r="R447" s="42">
        <f t="shared" si="286"/>
        <v>8</v>
      </c>
      <c r="S447" s="42">
        <f t="shared" si="286"/>
        <v>8</v>
      </c>
      <c r="T447" s="42">
        <f t="shared" si="286"/>
        <v>8</v>
      </c>
      <c r="U447" s="42">
        <f t="shared" si="286"/>
        <v>0</v>
      </c>
      <c r="V447" s="42">
        <f t="shared" si="286"/>
        <v>0</v>
      </c>
      <c r="W447" s="42">
        <f t="shared" si="286"/>
        <v>0</v>
      </c>
      <c r="X447" s="42">
        <f t="shared" si="286"/>
        <v>0</v>
      </c>
      <c r="Y447" s="42">
        <f t="shared" si="286"/>
        <v>0</v>
      </c>
      <c r="Z447" s="42">
        <f t="shared" si="286"/>
        <v>0</v>
      </c>
      <c r="AA447" s="42">
        <f t="shared" si="286"/>
        <v>0</v>
      </c>
      <c r="AB447" s="42">
        <f t="shared" si="286"/>
        <v>0</v>
      </c>
      <c r="AC447" s="42">
        <f t="shared" si="286"/>
        <v>0</v>
      </c>
      <c r="AD447" s="42">
        <f t="shared" si="286"/>
        <v>0</v>
      </c>
    </row>
    <row r="448" spans="1:30" outlineLevel="1">
      <c r="A448" s="283" t="s">
        <v>300</v>
      </c>
      <c r="B448" s="13" t="s">
        <v>451</v>
      </c>
      <c r="C448" s="42"/>
      <c r="D448" s="61"/>
      <c r="E448" s="284"/>
      <c r="F448" s="284"/>
      <c r="G448" s="284"/>
      <c r="H448" s="284"/>
      <c r="I448" s="284"/>
      <c r="J448" s="284"/>
      <c r="K448" s="284">
        <v>3.65</v>
      </c>
      <c r="L448" s="284">
        <f t="shared" ref="L448:T448" si="287">K448+0.05</f>
        <v>3.6999999999999997</v>
      </c>
      <c r="M448" s="284">
        <f t="shared" si="287"/>
        <v>3.7499999999999996</v>
      </c>
      <c r="N448" s="284">
        <f t="shared" si="287"/>
        <v>3.7999999999999994</v>
      </c>
      <c r="O448" s="284">
        <f t="shared" si="287"/>
        <v>3.8499999999999992</v>
      </c>
      <c r="P448" s="284">
        <f t="shared" si="287"/>
        <v>3.899999999999999</v>
      </c>
      <c r="Q448" s="284">
        <f t="shared" si="287"/>
        <v>3.9499999999999988</v>
      </c>
      <c r="R448" s="284">
        <f t="shared" si="287"/>
        <v>3.9999999999999987</v>
      </c>
      <c r="S448" s="284">
        <f t="shared" si="287"/>
        <v>4.0499999999999989</v>
      </c>
      <c r="T448" s="284">
        <f t="shared" si="287"/>
        <v>4.0999999999999988</v>
      </c>
      <c r="U448" s="284">
        <f t="shared" ref="U448:AD448" si="288">T448</f>
        <v>4.0999999999999988</v>
      </c>
      <c r="V448" s="284">
        <f t="shared" si="288"/>
        <v>4.0999999999999988</v>
      </c>
      <c r="W448" s="284">
        <f t="shared" si="288"/>
        <v>4.0999999999999988</v>
      </c>
      <c r="X448" s="284">
        <f t="shared" si="288"/>
        <v>4.0999999999999988</v>
      </c>
      <c r="Y448" s="284">
        <f t="shared" si="288"/>
        <v>4.0999999999999988</v>
      </c>
      <c r="Z448" s="284">
        <f t="shared" si="288"/>
        <v>4.0999999999999988</v>
      </c>
      <c r="AA448" s="284">
        <f t="shared" si="288"/>
        <v>4.0999999999999988</v>
      </c>
      <c r="AB448" s="284">
        <f t="shared" si="288"/>
        <v>4.0999999999999988</v>
      </c>
      <c r="AC448" s="284">
        <f t="shared" si="288"/>
        <v>4.0999999999999988</v>
      </c>
      <c r="AD448" s="284">
        <f t="shared" si="288"/>
        <v>4.0999999999999988</v>
      </c>
    </row>
    <row r="449" spans="1:30" s="45" customFormat="1" outlineLevel="1">
      <c r="A449" s="45" t="s">
        <v>297</v>
      </c>
      <c r="B449" s="45" t="s">
        <v>285</v>
      </c>
      <c r="C449" s="42">
        <f>SUM(D449:AD449)</f>
        <v>234.74999999999997</v>
      </c>
      <c r="D449" s="42"/>
      <c r="E449" s="42">
        <f t="shared" ref="E449:AD449" si="289">E447*E448</f>
        <v>0</v>
      </c>
      <c r="F449" s="42">
        <f t="shared" si="289"/>
        <v>0</v>
      </c>
      <c r="G449" s="42">
        <f t="shared" si="289"/>
        <v>0</v>
      </c>
      <c r="H449" s="42">
        <f t="shared" si="289"/>
        <v>0</v>
      </c>
      <c r="I449" s="42">
        <f t="shared" si="289"/>
        <v>0</v>
      </c>
      <c r="J449" s="42">
        <f t="shared" si="289"/>
        <v>0</v>
      </c>
      <c r="K449" s="42">
        <f t="shared" si="289"/>
        <v>10.95</v>
      </c>
      <c r="L449" s="42">
        <f t="shared" si="289"/>
        <v>18.5</v>
      </c>
      <c r="M449" s="42">
        <f t="shared" si="289"/>
        <v>18.749999999999996</v>
      </c>
      <c r="N449" s="42">
        <f t="shared" si="289"/>
        <v>18.999999999999996</v>
      </c>
      <c r="O449" s="42">
        <f t="shared" si="289"/>
        <v>19.249999999999996</v>
      </c>
      <c r="P449" s="42">
        <f t="shared" si="289"/>
        <v>19.499999999999996</v>
      </c>
      <c r="Q449" s="42">
        <f t="shared" si="289"/>
        <v>31.599999999999991</v>
      </c>
      <c r="R449" s="42">
        <f t="shared" si="289"/>
        <v>31.999999999999989</v>
      </c>
      <c r="S449" s="42">
        <f t="shared" si="289"/>
        <v>32.399999999999991</v>
      </c>
      <c r="T449" s="42">
        <f t="shared" si="289"/>
        <v>32.79999999999999</v>
      </c>
      <c r="U449" s="42">
        <f t="shared" si="289"/>
        <v>0</v>
      </c>
      <c r="V449" s="42">
        <f t="shared" si="289"/>
        <v>0</v>
      </c>
      <c r="W449" s="42">
        <f t="shared" si="289"/>
        <v>0</v>
      </c>
      <c r="X449" s="42">
        <f t="shared" si="289"/>
        <v>0</v>
      </c>
      <c r="Y449" s="42">
        <f t="shared" si="289"/>
        <v>0</v>
      </c>
      <c r="Z449" s="42">
        <f t="shared" si="289"/>
        <v>0</v>
      </c>
      <c r="AA449" s="42">
        <f t="shared" si="289"/>
        <v>0</v>
      </c>
      <c r="AB449" s="42">
        <f t="shared" si="289"/>
        <v>0</v>
      </c>
      <c r="AC449" s="42">
        <f t="shared" si="289"/>
        <v>0</v>
      </c>
      <c r="AD449" s="42">
        <f t="shared" si="289"/>
        <v>0</v>
      </c>
    </row>
    <row r="450" spans="1:30" s="45" customFormat="1" outlineLevel="1">
      <c r="C450" s="42"/>
      <c r="D450" s="42"/>
      <c r="E450" s="42"/>
      <c r="F450" s="42"/>
      <c r="G450" s="42"/>
      <c r="H450" s="42"/>
      <c r="I450" s="42"/>
      <c r="J450" s="42"/>
      <c r="K450" s="42"/>
      <c r="L450" s="42"/>
      <c r="M450" s="42"/>
      <c r="N450" s="42"/>
      <c r="O450" s="42"/>
      <c r="P450" s="42"/>
      <c r="Q450" s="42"/>
      <c r="R450" s="42"/>
      <c r="S450" s="42"/>
      <c r="T450" s="42"/>
      <c r="U450" s="42"/>
      <c r="V450" s="42"/>
      <c r="W450" s="42"/>
      <c r="X450" s="42"/>
      <c r="Y450" s="42"/>
      <c r="Z450" s="42"/>
      <c r="AA450" s="42"/>
      <c r="AB450" s="42"/>
      <c r="AC450" s="42"/>
      <c r="AD450" s="42"/>
    </row>
    <row r="451" spans="1:30" s="45" customFormat="1" outlineLevel="1">
      <c r="A451" s="45" t="s">
        <v>301</v>
      </c>
      <c r="B451" s="45" t="s">
        <v>285</v>
      </c>
      <c r="C451" s="42">
        <f>SUM(D451:AD451)</f>
        <v>2224.3000000000002</v>
      </c>
      <c r="D451" s="70">
        <f t="shared" ref="D451:AD451" si="290">D445+D449</f>
        <v>0</v>
      </c>
      <c r="E451" s="70">
        <f t="shared" si="290"/>
        <v>0</v>
      </c>
      <c r="F451" s="70">
        <f t="shared" si="290"/>
        <v>0</v>
      </c>
      <c r="G451" s="70">
        <f t="shared" si="290"/>
        <v>0</v>
      </c>
      <c r="H451" s="70">
        <f t="shared" si="290"/>
        <v>0</v>
      </c>
      <c r="I451" s="70">
        <f t="shared" si="290"/>
        <v>0</v>
      </c>
      <c r="J451" s="70">
        <f t="shared" si="290"/>
        <v>142.79999999999998</v>
      </c>
      <c r="K451" s="70">
        <f t="shared" si="290"/>
        <v>190.34999999999997</v>
      </c>
      <c r="L451" s="70">
        <f t="shared" si="290"/>
        <v>200.49999999999997</v>
      </c>
      <c r="M451" s="70">
        <f t="shared" si="290"/>
        <v>203.34999999999997</v>
      </c>
      <c r="N451" s="70">
        <f t="shared" si="290"/>
        <v>206.19999999999996</v>
      </c>
      <c r="O451" s="70">
        <f t="shared" si="290"/>
        <v>209.04999999999995</v>
      </c>
      <c r="P451" s="70">
        <f t="shared" si="290"/>
        <v>259.99999999999989</v>
      </c>
      <c r="Q451" s="70">
        <f t="shared" si="290"/>
        <v>275.34999999999991</v>
      </c>
      <c r="R451" s="70">
        <f t="shared" si="290"/>
        <v>278.99999999999989</v>
      </c>
      <c r="S451" s="70">
        <f t="shared" si="290"/>
        <v>224.89999999999992</v>
      </c>
      <c r="T451" s="70">
        <f t="shared" si="290"/>
        <v>32.79999999999999</v>
      </c>
      <c r="U451" s="70">
        <f t="shared" si="290"/>
        <v>0</v>
      </c>
      <c r="V451" s="70">
        <f t="shared" si="290"/>
        <v>0</v>
      </c>
      <c r="W451" s="70">
        <f t="shared" si="290"/>
        <v>0</v>
      </c>
      <c r="X451" s="70">
        <f t="shared" si="290"/>
        <v>0</v>
      </c>
      <c r="Y451" s="70">
        <f t="shared" si="290"/>
        <v>0</v>
      </c>
      <c r="Z451" s="70">
        <f t="shared" si="290"/>
        <v>0</v>
      </c>
      <c r="AA451" s="70">
        <f t="shared" si="290"/>
        <v>0</v>
      </c>
      <c r="AB451" s="70">
        <f t="shared" si="290"/>
        <v>0</v>
      </c>
      <c r="AC451" s="70">
        <f t="shared" si="290"/>
        <v>0</v>
      </c>
      <c r="AD451" s="70">
        <f t="shared" si="290"/>
        <v>0</v>
      </c>
    </row>
    <row r="452" spans="1:30" s="45" customFormat="1" outlineLevel="1">
      <c r="C452" s="42"/>
      <c r="D452" s="42"/>
      <c r="E452" s="42"/>
      <c r="F452" s="42"/>
      <c r="G452" s="42"/>
      <c r="H452" s="42"/>
      <c r="I452" s="42"/>
      <c r="J452" s="42"/>
      <c r="K452" s="42"/>
      <c r="L452" s="42"/>
      <c r="M452" s="42"/>
      <c r="N452" s="42"/>
      <c r="O452" s="42"/>
      <c r="P452" s="42"/>
      <c r="Q452" s="42"/>
      <c r="R452" s="42"/>
      <c r="S452" s="42"/>
      <c r="T452" s="42"/>
      <c r="U452" s="42"/>
      <c r="V452" s="42"/>
      <c r="W452" s="42"/>
      <c r="X452" s="42"/>
      <c r="Y452" s="42"/>
      <c r="Z452" s="42"/>
      <c r="AA452" s="42"/>
      <c r="AB452" s="42"/>
      <c r="AC452" s="42"/>
      <c r="AD452" s="42"/>
    </row>
    <row r="453" spans="1:30" s="59" customFormat="1" outlineLevel="1">
      <c r="A453" s="59" t="s">
        <v>302</v>
      </c>
      <c r="B453" s="45" t="s">
        <v>285</v>
      </c>
      <c r="C453" s="44">
        <f>SUM(D453:AD453)</f>
        <v>5170.3999999999987</v>
      </c>
      <c r="D453" s="55">
        <f t="shared" ref="D453:AD453" si="291">D440+D451</f>
        <v>0</v>
      </c>
      <c r="E453" s="55">
        <f t="shared" si="291"/>
        <v>185</v>
      </c>
      <c r="F453" s="55">
        <f t="shared" si="291"/>
        <v>222.85</v>
      </c>
      <c r="G453" s="55">
        <f t="shared" si="291"/>
        <v>226.9</v>
      </c>
      <c r="H453" s="55">
        <f t="shared" si="291"/>
        <v>357.79999999999995</v>
      </c>
      <c r="I453" s="55">
        <f t="shared" si="291"/>
        <v>361.19999999999993</v>
      </c>
      <c r="J453" s="55">
        <f t="shared" si="291"/>
        <v>444.39999999999986</v>
      </c>
      <c r="K453" s="55">
        <f t="shared" si="291"/>
        <v>422.99999999999989</v>
      </c>
      <c r="L453" s="55">
        <f t="shared" si="291"/>
        <v>422.69999999999993</v>
      </c>
      <c r="M453" s="55">
        <f t="shared" si="291"/>
        <v>427.59999999999991</v>
      </c>
      <c r="N453" s="55">
        <f t="shared" si="291"/>
        <v>432.49999999999989</v>
      </c>
      <c r="O453" s="55">
        <f t="shared" si="291"/>
        <v>437.39999999999986</v>
      </c>
      <c r="P453" s="55">
        <f t="shared" si="291"/>
        <v>416.99999999999983</v>
      </c>
      <c r="Q453" s="55">
        <f t="shared" si="291"/>
        <v>275.34999999999991</v>
      </c>
      <c r="R453" s="55">
        <f t="shared" si="291"/>
        <v>278.99999999999989</v>
      </c>
      <c r="S453" s="55">
        <f t="shared" si="291"/>
        <v>224.89999999999992</v>
      </c>
      <c r="T453" s="55">
        <f t="shared" si="291"/>
        <v>32.79999999999999</v>
      </c>
      <c r="U453" s="55">
        <f t="shared" si="291"/>
        <v>0</v>
      </c>
      <c r="V453" s="55">
        <f t="shared" si="291"/>
        <v>0</v>
      </c>
      <c r="W453" s="55">
        <f t="shared" si="291"/>
        <v>0</v>
      </c>
      <c r="X453" s="55">
        <f t="shared" si="291"/>
        <v>0</v>
      </c>
      <c r="Y453" s="55">
        <f t="shared" si="291"/>
        <v>0</v>
      </c>
      <c r="Z453" s="55">
        <f t="shared" si="291"/>
        <v>0</v>
      </c>
      <c r="AA453" s="55">
        <f t="shared" si="291"/>
        <v>0</v>
      </c>
      <c r="AB453" s="55">
        <f t="shared" si="291"/>
        <v>0</v>
      </c>
      <c r="AC453" s="55">
        <f t="shared" si="291"/>
        <v>0</v>
      </c>
      <c r="AD453" s="55">
        <f t="shared" si="291"/>
        <v>0</v>
      </c>
    </row>
    <row r="454" spans="1:30" s="45" customFormat="1" outlineLevel="1">
      <c r="C454" s="42"/>
      <c r="D454" s="42"/>
      <c r="E454" s="42"/>
      <c r="F454" s="42"/>
      <c r="G454" s="42"/>
      <c r="H454" s="42"/>
      <c r="I454" s="42"/>
      <c r="J454" s="42"/>
      <c r="K454" s="42"/>
      <c r="L454" s="42"/>
      <c r="M454" s="42"/>
      <c r="N454" s="42"/>
      <c r="O454" s="42"/>
      <c r="P454" s="42"/>
      <c r="Q454" s="42"/>
      <c r="R454" s="42"/>
      <c r="S454" s="42"/>
      <c r="T454" s="42"/>
      <c r="U454" s="42"/>
      <c r="V454" s="42"/>
      <c r="W454" s="42"/>
      <c r="X454" s="42"/>
      <c r="Y454" s="42"/>
      <c r="Z454" s="42"/>
      <c r="AA454" s="42"/>
      <c r="AB454" s="42"/>
      <c r="AC454" s="42"/>
      <c r="AD454" s="42"/>
    </row>
    <row r="455" spans="1:30" s="8" customFormat="1" ht="15.5" outlineLevel="1">
      <c r="A455" s="97" t="s">
        <v>220</v>
      </c>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row>
    <row r="456" spans="1:30" s="62" customFormat="1" outlineLevel="1">
      <c r="A456" s="13" t="s">
        <v>558</v>
      </c>
      <c r="B456" s="60"/>
      <c r="C456" s="42"/>
      <c r="D456" s="61"/>
      <c r="E456" s="61"/>
      <c r="F456" s="61"/>
      <c r="G456" s="61"/>
      <c r="H456" s="61"/>
      <c r="I456" s="61"/>
      <c r="J456" s="61"/>
      <c r="K456" s="61"/>
      <c r="L456" s="61"/>
      <c r="M456" s="61"/>
      <c r="N456" s="61"/>
      <c r="O456" s="61"/>
      <c r="P456" s="61"/>
      <c r="Q456" s="61"/>
      <c r="R456" s="61"/>
      <c r="S456" s="61"/>
      <c r="T456" s="61"/>
      <c r="U456" s="61"/>
      <c r="V456" s="61"/>
      <c r="W456" s="61"/>
      <c r="X456" s="61"/>
      <c r="Y456" s="61"/>
      <c r="Z456" s="61"/>
      <c r="AA456" s="61"/>
      <c r="AB456" s="61"/>
      <c r="AC456" s="61"/>
      <c r="AD456" s="61"/>
    </row>
    <row r="457" spans="1:30" outlineLevel="1">
      <c r="A457" s="283" t="s">
        <v>349</v>
      </c>
      <c r="B457" s="13" t="s">
        <v>452</v>
      </c>
      <c r="C457" s="42"/>
      <c r="D457" s="285">
        <v>12</v>
      </c>
      <c r="E457" s="285">
        <f t="shared" ref="E457:AD457" si="292">D457</f>
        <v>12</v>
      </c>
      <c r="F457" s="285">
        <f t="shared" si="292"/>
        <v>12</v>
      </c>
      <c r="G457" s="285">
        <f t="shared" si="292"/>
        <v>12</v>
      </c>
      <c r="H457" s="285">
        <f t="shared" si="292"/>
        <v>12</v>
      </c>
      <c r="I457" s="285">
        <f t="shared" si="292"/>
        <v>12</v>
      </c>
      <c r="J457" s="285">
        <f t="shared" si="292"/>
        <v>12</v>
      </c>
      <c r="K457" s="285">
        <f t="shared" si="292"/>
        <v>12</v>
      </c>
      <c r="L457" s="285">
        <f t="shared" si="292"/>
        <v>12</v>
      </c>
      <c r="M457" s="285">
        <f t="shared" si="292"/>
        <v>12</v>
      </c>
      <c r="N457" s="285">
        <f t="shared" si="292"/>
        <v>12</v>
      </c>
      <c r="O457" s="285">
        <f t="shared" si="292"/>
        <v>12</v>
      </c>
      <c r="P457" s="285">
        <f t="shared" si="292"/>
        <v>12</v>
      </c>
      <c r="Q457" s="285">
        <f t="shared" si="292"/>
        <v>12</v>
      </c>
      <c r="R457" s="285">
        <f t="shared" si="292"/>
        <v>12</v>
      </c>
      <c r="S457" s="285">
        <f t="shared" si="292"/>
        <v>12</v>
      </c>
      <c r="T457" s="285">
        <f t="shared" si="292"/>
        <v>12</v>
      </c>
      <c r="U457" s="285">
        <f t="shared" si="292"/>
        <v>12</v>
      </c>
      <c r="V457" s="285">
        <f t="shared" si="292"/>
        <v>12</v>
      </c>
      <c r="W457" s="285">
        <f t="shared" si="292"/>
        <v>12</v>
      </c>
      <c r="X457" s="285">
        <f t="shared" si="292"/>
        <v>12</v>
      </c>
      <c r="Y457" s="285">
        <f t="shared" si="292"/>
        <v>12</v>
      </c>
      <c r="Z457" s="285">
        <f t="shared" si="292"/>
        <v>12</v>
      </c>
      <c r="AA457" s="285">
        <f t="shared" si="292"/>
        <v>12</v>
      </c>
      <c r="AB457" s="285">
        <f t="shared" si="292"/>
        <v>12</v>
      </c>
      <c r="AC457" s="285">
        <f t="shared" si="292"/>
        <v>12</v>
      </c>
      <c r="AD457" s="285">
        <f t="shared" si="292"/>
        <v>12</v>
      </c>
    </row>
    <row r="458" spans="1:30" s="59" customFormat="1" outlineLevel="1">
      <c r="A458" s="59" t="s">
        <v>220</v>
      </c>
      <c r="B458" s="45" t="s">
        <v>452</v>
      </c>
      <c r="C458" s="44">
        <f>SUM(D458:AD458)</f>
        <v>192</v>
      </c>
      <c r="D458" s="55">
        <f t="shared" ref="D458:AD458" si="293">IF(D453=0,0,D457)</f>
        <v>0</v>
      </c>
      <c r="E458" s="55">
        <f t="shared" si="293"/>
        <v>12</v>
      </c>
      <c r="F458" s="55">
        <f t="shared" si="293"/>
        <v>12</v>
      </c>
      <c r="G458" s="55">
        <f t="shared" si="293"/>
        <v>12</v>
      </c>
      <c r="H458" s="55">
        <f t="shared" si="293"/>
        <v>12</v>
      </c>
      <c r="I458" s="55">
        <f t="shared" si="293"/>
        <v>12</v>
      </c>
      <c r="J458" s="55">
        <f t="shared" si="293"/>
        <v>12</v>
      </c>
      <c r="K458" s="55">
        <f t="shared" si="293"/>
        <v>12</v>
      </c>
      <c r="L458" s="55">
        <f t="shared" si="293"/>
        <v>12</v>
      </c>
      <c r="M458" s="55">
        <f t="shared" si="293"/>
        <v>12</v>
      </c>
      <c r="N458" s="55">
        <f t="shared" si="293"/>
        <v>12</v>
      </c>
      <c r="O458" s="55">
        <f t="shared" si="293"/>
        <v>12</v>
      </c>
      <c r="P458" s="55">
        <f t="shared" si="293"/>
        <v>12</v>
      </c>
      <c r="Q458" s="55">
        <f t="shared" si="293"/>
        <v>12</v>
      </c>
      <c r="R458" s="55">
        <f t="shared" si="293"/>
        <v>12</v>
      </c>
      <c r="S458" s="55">
        <f t="shared" si="293"/>
        <v>12</v>
      </c>
      <c r="T458" s="55">
        <f t="shared" si="293"/>
        <v>12</v>
      </c>
      <c r="U458" s="55">
        <f t="shared" si="293"/>
        <v>0</v>
      </c>
      <c r="V458" s="55">
        <f t="shared" si="293"/>
        <v>0</v>
      </c>
      <c r="W458" s="55">
        <f t="shared" si="293"/>
        <v>0</v>
      </c>
      <c r="X458" s="55">
        <f t="shared" si="293"/>
        <v>0</v>
      </c>
      <c r="Y458" s="55">
        <f t="shared" si="293"/>
        <v>0</v>
      </c>
      <c r="Z458" s="55">
        <f t="shared" si="293"/>
        <v>0</v>
      </c>
      <c r="AA458" s="55">
        <f t="shared" si="293"/>
        <v>0</v>
      </c>
      <c r="AB458" s="55">
        <f t="shared" si="293"/>
        <v>0</v>
      </c>
      <c r="AC458" s="55">
        <f t="shared" si="293"/>
        <v>0</v>
      </c>
      <c r="AD458" s="55">
        <f t="shared" si="293"/>
        <v>0</v>
      </c>
    </row>
    <row r="459" spans="1:30" s="45" customFormat="1" outlineLevel="1">
      <c r="C459" s="42"/>
      <c r="D459" s="42"/>
      <c r="E459" s="42"/>
      <c r="F459" s="42"/>
      <c r="G459" s="42"/>
      <c r="H459" s="42"/>
      <c r="I459" s="42"/>
      <c r="J459" s="42"/>
      <c r="K459" s="42"/>
      <c r="L459" s="42"/>
      <c r="M459" s="42"/>
      <c r="N459" s="42"/>
      <c r="O459" s="42"/>
      <c r="P459" s="42"/>
      <c r="Q459" s="42"/>
      <c r="R459" s="42"/>
      <c r="S459" s="42"/>
      <c r="T459" s="42"/>
      <c r="U459" s="42"/>
      <c r="V459" s="42"/>
      <c r="W459" s="42"/>
      <c r="X459" s="42"/>
      <c r="Y459" s="42"/>
      <c r="Z459" s="42"/>
      <c r="AA459" s="42"/>
      <c r="AB459" s="42"/>
      <c r="AC459" s="42"/>
      <c r="AD459" s="42"/>
    </row>
    <row r="460" spans="1:30" s="286" customFormat="1" ht="28.75" customHeight="1" outlineLevel="1">
      <c r="A460" s="127" t="s">
        <v>28</v>
      </c>
      <c r="B460" s="117" t="s">
        <v>285</v>
      </c>
      <c r="C460" s="232">
        <f>SUM(D460:AD460)</f>
        <v>5362.3999999999987</v>
      </c>
      <c r="D460" s="287">
        <f t="shared" ref="D460:AD460" si="294">D453+D458</f>
        <v>0</v>
      </c>
      <c r="E460" s="287">
        <f t="shared" si="294"/>
        <v>197</v>
      </c>
      <c r="F460" s="287">
        <f t="shared" si="294"/>
        <v>234.85</v>
      </c>
      <c r="G460" s="287">
        <f t="shared" si="294"/>
        <v>238.9</v>
      </c>
      <c r="H460" s="287">
        <f t="shared" si="294"/>
        <v>369.79999999999995</v>
      </c>
      <c r="I460" s="287">
        <f t="shared" si="294"/>
        <v>373.19999999999993</v>
      </c>
      <c r="J460" s="287">
        <f t="shared" si="294"/>
        <v>456.39999999999986</v>
      </c>
      <c r="K460" s="287">
        <f t="shared" si="294"/>
        <v>434.99999999999989</v>
      </c>
      <c r="L460" s="287">
        <f t="shared" si="294"/>
        <v>434.69999999999993</v>
      </c>
      <c r="M460" s="287">
        <f t="shared" si="294"/>
        <v>439.59999999999991</v>
      </c>
      <c r="N460" s="287">
        <f t="shared" si="294"/>
        <v>444.49999999999989</v>
      </c>
      <c r="O460" s="287">
        <f t="shared" si="294"/>
        <v>449.39999999999986</v>
      </c>
      <c r="P460" s="287">
        <f t="shared" si="294"/>
        <v>428.99999999999983</v>
      </c>
      <c r="Q460" s="287">
        <f t="shared" si="294"/>
        <v>287.34999999999991</v>
      </c>
      <c r="R460" s="287">
        <f t="shared" si="294"/>
        <v>290.99999999999989</v>
      </c>
      <c r="S460" s="287">
        <f t="shared" si="294"/>
        <v>236.89999999999992</v>
      </c>
      <c r="T460" s="287">
        <f t="shared" si="294"/>
        <v>44.79999999999999</v>
      </c>
      <c r="U460" s="287">
        <f t="shared" si="294"/>
        <v>0</v>
      </c>
      <c r="V460" s="287">
        <f t="shared" si="294"/>
        <v>0</v>
      </c>
      <c r="W460" s="287">
        <f t="shared" si="294"/>
        <v>0</v>
      </c>
      <c r="X460" s="287">
        <f t="shared" si="294"/>
        <v>0</v>
      </c>
      <c r="Y460" s="287">
        <f t="shared" si="294"/>
        <v>0</v>
      </c>
      <c r="Z460" s="287">
        <f t="shared" si="294"/>
        <v>0</v>
      </c>
      <c r="AA460" s="287">
        <f t="shared" si="294"/>
        <v>0</v>
      </c>
      <c r="AB460" s="287">
        <f t="shared" si="294"/>
        <v>0</v>
      </c>
      <c r="AC460" s="287">
        <f t="shared" si="294"/>
        <v>0</v>
      </c>
      <c r="AD460" s="287">
        <f t="shared" si="294"/>
        <v>0</v>
      </c>
    </row>
    <row r="461" spans="1:30" s="45" customFormat="1" outlineLevel="1">
      <c r="A461" s="45" t="s">
        <v>304</v>
      </c>
      <c r="B461" s="69" t="s">
        <v>453</v>
      </c>
      <c r="C461" s="45">
        <f t="shared" ref="C461:AD461" si="295">IF(C139=0,0,C460/C139)</f>
        <v>45.444067796610156</v>
      </c>
      <c r="D461" s="45">
        <f t="shared" si="295"/>
        <v>0</v>
      </c>
      <c r="E461" s="45">
        <f t="shared" si="295"/>
        <v>0</v>
      </c>
      <c r="F461" s="45">
        <f t="shared" si="295"/>
        <v>39.141666666666666</v>
      </c>
      <c r="G461" s="45">
        <f t="shared" si="295"/>
        <v>29.862500000000001</v>
      </c>
      <c r="H461" s="45">
        <f t="shared" si="295"/>
        <v>46.224999999999994</v>
      </c>
      <c r="I461" s="45">
        <f t="shared" si="295"/>
        <v>46.649999999999991</v>
      </c>
      <c r="J461" s="45">
        <f t="shared" si="295"/>
        <v>57.049999999999983</v>
      </c>
      <c r="K461" s="45">
        <f t="shared" si="295"/>
        <v>54.374999999999986</v>
      </c>
      <c r="L461" s="45">
        <f t="shared" si="295"/>
        <v>54.337499999999991</v>
      </c>
      <c r="M461" s="45">
        <f t="shared" si="295"/>
        <v>54.949999999999989</v>
      </c>
      <c r="N461" s="45">
        <f t="shared" si="295"/>
        <v>55.562499999999986</v>
      </c>
      <c r="O461" s="45">
        <f t="shared" si="295"/>
        <v>56.174999999999983</v>
      </c>
      <c r="P461" s="45">
        <f t="shared" si="295"/>
        <v>53.624999999999979</v>
      </c>
      <c r="Q461" s="45">
        <f t="shared" si="295"/>
        <v>35.918749999999989</v>
      </c>
      <c r="R461" s="45">
        <f t="shared" si="295"/>
        <v>36.374999999999986</v>
      </c>
      <c r="S461" s="45">
        <f t="shared" si="295"/>
        <v>29.61249999999999</v>
      </c>
      <c r="T461" s="45">
        <f t="shared" si="295"/>
        <v>5.5999999999999988</v>
      </c>
      <c r="U461" s="45">
        <f t="shared" si="295"/>
        <v>0</v>
      </c>
      <c r="V461" s="45">
        <f t="shared" si="295"/>
        <v>0</v>
      </c>
      <c r="W461" s="45">
        <f t="shared" si="295"/>
        <v>0</v>
      </c>
      <c r="X461" s="45">
        <f t="shared" si="295"/>
        <v>0</v>
      </c>
      <c r="Y461" s="45">
        <f t="shared" si="295"/>
        <v>0</v>
      </c>
      <c r="Z461" s="45">
        <f t="shared" si="295"/>
        <v>0</v>
      </c>
      <c r="AA461" s="45">
        <f t="shared" si="295"/>
        <v>0</v>
      </c>
      <c r="AB461" s="45">
        <f t="shared" si="295"/>
        <v>0</v>
      </c>
      <c r="AC461" s="45">
        <f t="shared" si="295"/>
        <v>0</v>
      </c>
      <c r="AD461" s="45">
        <f t="shared" si="295"/>
        <v>0</v>
      </c>
    </row>
    <row r="462" spans="1:30" s="65" customFormat="1" outlineLevel="1">
      <c r="A462" s="98"/>
      <c r="B462" s="96"/>
      <c r="C462" s="99"/>
      <c r="D462" s="54"/>
      <c r="E462" s="54"/>
      <c r="F462" s="54"/>
      <c r="G462" s="54"/>
      <c r="H462" s="54"/>
      <c r="I462" s="54"/>
      <c r="J462" s="54"/>
      <c r="K462" s="54"/>
      <c r="L462" s="54"/>
      <c r="M462" s="54"/>
      <c r="N462" s="54"/>
      <c r="O462" s="54"/>
      <c r="P462" s="54"/>
      <c r="Q462" s="54"/>
      <c r="R462" s="54"/>
      <c r="S462" s="54"/>
      <c r="T462" s="54"/>
      <c r="U462" s="54"/>
      <c r="V462" s="54"/>
      <c r="W462" s="54"/>
      <c r="X462" s="54"/>
      <c r="Y462" s="54"/>
      <c r="Z462" s="54"/>
      <c r="AA462" s="54"/>
      <c r="AB462" s="54"/>
      <c r="AC462" s="54"/>
      <c r="AD462" s="54"/>
    </row>
    <row r="463" spans="1:30" s="8" customFormat="1" ht="15.5" outlineLevel="1">
      <c r="A463" s="242" t="str">
        <f>'Expected NPV &amp; Common Data'!A$36</f>
        <v>Calendar Year --&gt;</v>
      </c>
      <c r="B463" s="243" t="str">
        <f>'Expected NPV &amp; Common Data'!B$36</f>
        <v>units</v>
      </c>
      <c r="C463" s="244" t="str">
        <f>'Expected NPV &amp; Common Data'!C$36</f>
        <v>Total</v>
      </c>
      <c r="D463" s="245">
        <f>'Expected NPV &amp; Common Data'!D$36</f>
        <v>2027</v>
      </c>
      <c r="E463" s="245">
        <f>'Expected NPV &amp; Common Data'!E$36</f>
        <v>2028</v>
      </c>
      <c r="F463" s="245">
        <f>'Expected NPV &amp; Common Data'!F$36</f>
        <v>2029</v>
      </c>
      <c r="G463" s="245">
        <f>'Expected NPV &amp; Common Data'!G$36</f>
        <v>2030</v>
      </c>
      <c r="H463" s="245">
        <f>'Expected NPV &amp; Common Data'!H$36</f>
        <v>2031</v>
      </c>
      <c r="I463" s="245">
        <f>'Expected NPV &amp; Common Data'!I$36</f>
        <v>2032</v>
      </c>
      <c r="J463" s="245">
        <f>'Expected NPV &amp; Common Data'!J$36</f>
        <v>2033</v>
      </c>
      <c r="K463" s="245">
        <f>'Expected NPV &amp; Common Data'!K$36</f>
        <v>2034</v>
      </c>
      <c r="L463" s="245">
        <f>'Expected NPV &amp; Common Data'!L$36</f>
        <v>2035</v>
      </c>
      <c r="M463" s="245">
        <f>'Expected NPV &amp; Common Data'!M$36</f>
        <v>2036</v>
      </c>
      <c r="N463" s="245">
        <f>'Expected NPV &amp; Common Data'!N$36</f>
        <v>2037</v>
      </c>
      <c r="O463" s="245">
        <f>'Expected NPV &amp; Common Data'!O$36</f>
        <v>2038</v>
      </c>
      <c r="P463" s="245">
        <f>'Expected NPV &amp; Common Data'!P$36</f>
        <v>2039</v>
      </c>
      <c r="Q463" s="245">
        <f>'Expected NPV &amp; Common Data'!Q$36</f>
        <v>2040</v>
      </c>
      <c r="R463" s="245">
        <f>'Expected NPV &amp; Common Data'!R$36</f>
        <v>2041</v>
      </c>
      <c r="S463" s="245">
        <f>'Expected NPV &amp; Common Data'!S$36</f>
        <v>2042</v>
      </c>
      <c r="T463" s="245">
        <f>'Expected NPV &amp; Common Data'!T$36</f>
        <v>2043</v>
      </c>
      <c r="U463" s="245">
        <f>'Expected NPV &amp; Common Data'!U$36</f>
        <v>2044</v>
      </c>
      <c r="V463" s="245">
        <f>'Expected NPV &amp; Common Data'!V$36</f>
        <v>2045</v>
      </c>
      <c r="W463" s="245">
        <f>'Expected NPV &amp; Common Data'!W$36</f>
        <v>2046</v>
      </c>
      <c r="X463" s="245">
        <f>'Expected NPV &amp; Common Data'!X$36</f>
        <v>2047</v>
      </c>
      <c r="Y463" s="245">
        <f>'Expected NPV &amp; Common Data'!Y$36</f>
        <v>2048</v>
      </c>
      <c r="Z463" s="245">
        <f>'Expected NPV &amp; Common Data'!Z$36</f>
        <v>2049</v>
      </c>
      <c r="AA463" s="245">
        <f>'Expected NPV &amp; Common Data'!AA$36</f>
        <v>2050</v>
      </c>
      <c r="AB463" s="245">
        <f>'Expected NPV &amp; Common Data'!AB$36</f>
        <v>2051</v>
      </c>
      <c r="AC463" s="245">
        <f>'Expected NPV &amp; Common Data'!AC$36</f>
        <v>2052</v>
      </c>
      <c r="AD463" s="245">
        <f>'Expected NPV &amp; Common Data'!AD$36</f>
        <v>2053</v>
      </c>
    </row>
    <row r="464" spans="1:30" ht="54" customHeight="1">
      <c r="A464" s="23" t="s">
        <v>30</v>
      </c>
      <c r="D464" s="15"/>
      <c r="E464" s="15"/>
      <c r="F464" s="15"/>
      <c r="G464" s="15"/>
      <c r="H464" s="15"/>
      <c r="I464" s="15"/>
      <c r="J464" s="15"/>
      <c r="K464" s="15"/>
      <c r="L464" s="15"/>
      <c r="M464" s="15"/>
      <c r="N464" s="15"/>
      <c r="O464" s="15"/>
      <c r="P464" s="15"/>
      <c r="Q464" s="15"/>
      <c r="R464" s="15"/>
      <c r="S464" s="15"/>
      <c r="T464" s="15"/>
      <c r="U464" s="15"/>
      <c r="V464" s="15"/>
      <c r="W464" s="15"/>
      <c r="X464" s="15"/>
      <c r="Y464" s="15"/>
      <c r="Z464" s="15"/>
      <c r="AA464" s="15"/>
      <c r="AB464" s="15"/>
      <c r="AC464" s="15"/>
      <c r="AD464" s="15"/>
    </row>
    <row r="465" spans="1:30" s="45" customFormat="1" outlineLevel="1">
      <c r="A465" s="45" t="str">
        <f>A154</f>
        <v>ore feed to processing - aggregate</v>
      </c>
      <c r="B465" s="45" t="str">
        <f>B154</f>
        <v>millions dry tonnes</v>
      </c>
      <c r="C465" s="42">
        <f>SUM(D465:AD465)</f>
        <v>117.99999999999999</v>
      </c>
      <c r="D465" s="42">
        <f t="shared" ref="D465:AD465" si="296">D154</f>
        <v>0</v>
      </c>
      <c r="E465" s="42">
        <f t="shared" si="296"/>
        <v>0</v>
      </c>
      <c r="F465" s="42">
        <f t="shared" si="296"/>
        <v>5.0769230769230766</v>
      </c>
      <c r="G465" s="42">
        <f t="shared" si="296"/>
        <v>8</v>
      </c>
      <c r="H465" s="42">
        <f t="shared" si="296"/>
        <v>8</v>
      </c>
      <c r="I465" s="42">
        <f t="shared" si="296"/>
        <v>8</v>
      </c>
      <c r="J465" s="42">
        <f t="shared" si="296"/>
        <v>8.3461538461538467</v>
      </c>
      <c r="K465" s="42">
        <f t="shared" si="296"/>
        <v>7.6538461538461533</v>
      </c>
      <c r="L465" s="42">
        <f t="shared" si="296"/>
        <v>8</v>
      </c>
      <c r="M465" s="42">
        <f t="shared" si="296"/>
        <v>8</v>
      </c>
      <c r="N465" s="42">
        <f t="shared" si="296"/>
        <v>8</v>
      </c>
      <c r="O465" s="42">
        <f t="shared" si="296"/>
        <v>8</v>
      </c>
      <c r="P465" s="42">
        <f t="shared" si="296"/>
        <v>8</v>
      </c>
      <c r="Q465" s="42">
        <f t="shared" si="296"/>
        <v>8</v>
      </c>
      <c r="R465" s="42">
        <f t="shared" si="296"/>
        <v>8</v>
      </c>
      <c r="S465" s="42">
        <f t="shared" si="296"/>
        <v>8</v>
      </c>
      <c r="T465" s="42">
        <f t="shared" si="296"/>
        <v>8.9230769230769234</v>
      </c>
      <c r="U465" s="42">
        <f t="shared" si="296"/>
        <v>0</v>
      </c>
      <c r="V465" s="42">
        <f t="shared" si="296"/>
        <v>0</v>
      </c>
      <c r="W465" s="42">
        <f t="shared" si="296"/>
        <v>0</v>
      </c>
      <c r="X465" s="42">
        <f t="shared" si="296"/>
        <v>0</v>
      </c>
      <c r="Y465" s="42">
        <f t="shared" si="296"/>
        <v>0</v>
      </c>
      <c r="Z465" s="42">
        <f t="shared" si="296"/>
        <v>0</v>
      </c>
      <c r="AA465" s="42">
        <f t="shared" si="296"/>
        <v>0</v>
      </c>
      <c r="AB465" s="42">
        <f t="shared" si="296"/>
        <v>0</v>
      </c>
      <c r="AC465" s="42">
        <f t="shared" si="296"/>
        <v>0</v>
      </c>
      <c r="AD465" s="42">
        <f t="shared" si="296"/>
        <v>0</v>
      </c>
    </row>
    <row r="466" spans="1:30" s="8" customFormat="1" ht="15.5" outlineLevel="1">
      <c r="A466" s="97" t="s">
        <v>330</v>
      </c>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row>
    <row r="467" spans="1:30" s="62" customFormat="1" outlineLevel="1">
      <c r="A467" s="13" t="s">
        <v>559</v>
      </c>
      <c r="B467" s="60"/>
      <c r="C467" s="42"/>
      <c r="D467" s="61"/>
      <c r="E467" s="61"/>
      <c r="F467" s="61"/>
      <c r="G467" s="61"/>
      <c r="H467" s="61"/>
      <c r="I467" s="61"/>
      <c r="J467" s="61"/>
      <c r="K467" s="61"/>
      <c r="L467" s="61"/>
      <c r="M467" s="61"/>
      <c r="N467" s="61"/>
      <c r="O467" s="61"/>
      <c r="P467" s="61"/>
      <c r="Q467" s="61"/>
      <c r="R467" s="61"/>
      <c r="S467" s="61"/>
      <c r="T467" s="61"/>
      <c r="U467" s="61"/>
      <c r="V467" s="61"/>
      <c r="W467" s="61"/>
      <c r="X467" s="61"/>
      <c r="Y467" s="61"/>
      <c r="Z467" s="61"/>
      <c r="AA467" s="61"/>
      <c r="AB467" s="61"/>
      <c r="AC467" s="61"/>
      <c r="AD467" s="61"/>
    </row>
    <row r="468" spans="1:30" s="62" customFormat="1" ht="15.5" outlineLevel="1">
      <c r="A468" s="145" t="s">
        <v>329</v>
      </c>
      <c r="B468" s="114"/>
      <c r="C468" s="40"/>
      <c r="D468" s="115"/>
      <c r="E468" s="115"/>
      <c r="F468" s="115"/>
      <c r="G468" s="61"/>
      <c r="H468" s="61"/>
      <c r="I468" s="61"/>
      <c r="J468" s="61"/>
      <c r="K468" s="61"/>
      <c r="L468" s="61"/>
      <c r="M468" s="61"/>
      <c r="N468" s="61"/>
      <c r="O468" s="61"/>
      <c r="P468" s="61"/>
      <c r="Q468" s="61"/>
      <c r="R468" s="61"/>
      <c r="S468" s="61"/>
      <c r="T468" s="61"/>
      <c r="U468" s="61"/>
      <c r="V468" s="61"/>
      <c r="W468" s="61"/>
      <c r="X468" s="61"/>
      <c r="Y468" s="61"/>
      <c r="Z468" s="61"/>
      <c r="AA468" s="61"/>
      <c r="AB468" s="61"/>
      <c r="AC468" s="61"/>
      <c r="AD468" s="61"/>
    </row>
    <row r="469" spans="1:30" s="62" customFormat="1" outlineLevel="1">
      <c r="A469" s="214" t="s">
        <v>307</v>
      </c>
      <c r="B469" s="214" t="s">
        <v>305</v>
      </c>
      <c r="C469" s="42"/>
      <c r="D469" s="288">
        <v>4</v>
      </c>
      <c r="E469" s="288">
        <f t="shared" ref="E469:AD469" si="297">D469</f>
        <v>4</v>
      </c>
      <c r="F469" s="288">
        <f t="shared" si="297"/>
        <v>4</v>
      </c>
      <c r="G469" s="288">
        <f t="shared" si="297"/>
        <v>4</v>
      </c>
      <c r="H469" s="288">
        <f t="shared" si="297"/>
        <v>4</v>
      </c>
      <c r="I469" s="288">
        <f t="shared" si="297"/>
        <v>4</v>
      </c>
      <c r="J469" s="288">
        <f t="shared" si="297"/>
        <v>4</v>
      </c>
      <c r="K469" s="288">
        <f t="shared" si="297"/>
        <v>4</v>
      </c>
      <c r="L469" s="288">
        <f t="shared" si="297"/>
        <v>4</v>
      </c>
      <c r="M469" s="288">
        <f t="shared" si="297"/>
        <v>4</v>
      </c>
      <c r="N469" s="288">
        <f t="shared" si="297"/>
        <v>4</v>
      </c>
      <c r="O469" s="288">
        <f t="shared" si="297"/>
        <v>4</v>
      </c>
      <c r="P469" s="288">
        <f t="shared" si="297"/>
        <v>4</v>
      </c>
      <c r="Q469" s="288">
        <f t="shared" si="297"/>
        <v>4</v>
      </c>
      <c r="R469" s="288">
        <f t="shared" si="297"/>
        <v>4</v>
      </c>
      <c r="S469" s="288">
        <f t="shared" si="297"/>
        <v>4</v>
      </c>
      <c r="T469" s="288">
        <f t="shared" si="297"/>
        <v>4</v>
      </c>
      <c r="U469" s="288">
        <f t="shared" si="297"/>
        <v>4</v>
      </c>
      <c r="V469" s="288">
        <f t="shared" si="297"/>
        <v>4</v>
      </c>
      <c r="W469" s="288">
        <f t="shared" si="297"/>
        <v>4</v>
      </c>
      <c r="X469" s="288">
        <f t="shared" si="297"/>
        <v>4</v>
      </c>
      <c r="Y469" s="288">
        <f t="shared" si="297"/>
        <v>4</v>
      </c>
      <c r="Z469" s="288">
        <f t="shared" si="297"/>
        <v>4</v>
      </c>
      <c r="AA469" s="288">
        <f t="shared" si="297"/>
        <v>4</v>
      </c>
      <c r="AB469" s="288">
        <f t="shared" si="297"/>
        <v>4</v>
      </c>
      <c r="AC469" s="288">
        <f t="shared" si="297"/>
        <v>4</v>
      </c>
      <c r="AD469" s="288">
        <f t="shared" si="297"/>
        <v>4</v>
      </c>
    </row>
    <row r="470" spans="1:30" s="62" customFormat="1" outlineLevel="1">
      <c r="A470" s="41"/>
      <c r="B470" s="60"/>
      <c r="C470" s="42"/>
      <c r="D470" s="61"/>
      <c r="E470" s="61"/>
      <c r="F470" s="61"/>
      <c r="G470" s="61"/>
      <c r="H470" s="61"/>
      <c r="I470" s="61"/>
      <c r="J470" s="61"/>
      <c r="K470" s="61"/>
      <c r="L470" s="61"/>
      <c r="M470" s="61"/>
      <c r="N470" s="61"/>
      <c r="O470" s="61"/>
      <c r="P470" s="61"/>
      <c r="Q470" s="61"/>
      <c r="R470" s="61"/>
      <c r="S470" s="61"/>
      <c r="T470" s="61"/>
      <c r="U470" s="61"/>
      <c r="V470" s="61"/>
      <c r="W470" s="61"/>
      <c r="X470" s="61"/>
      <c r="Y470" s="61"/>
      <c r="Z470" s="61"/>
      <c r="AA470" s="61"/>
      <c r="AB470" s="61"/>
      <c r="AC470" s="61"/>
      <c r="AD470" s="61"/>
    </row>
    <row r="471" spans="1:30" s="62" customFormat="1" outlineLevel="1">
      <c r="A471" s="214" t="s">
        <v>308</v>
      </c>
      <c r="B471" s="214" t="s">
        <v>309</v>
      </c>
      <c r="C471" s="42"/>
      <c r="D471" s="288">
        <v>1.1000000000000001</v>
      </c>
      <c r="E471" s="288">
        <f t="shared" ref="E471:AD471" si="298">D471</f>
        <v>1.1000000000000001</v>
      </c>
      <c r="F471" s="288">
        <f t="shared" si="298"/>
        <v>1.1000000000000001</v>
      </c>
      <c r="G471" s="288">
        <f t="shared" si="298"/>
        <v>1.1000000000000001</v>
      </c>
      <c r="H471" s="288">
        <f t="shared" si="298"/>
        <v>1.1000000000000001</v>
      </c>
      <c r="I471" s="288">
        <f t="shared" si="298"/>
        <v>1.1000000000000001</v>
      </c>
      <c r="J471" s="288">
        <f t="shared" si="298"/>
        <v>1.1000000000000001</v>
      </c>
      <c r="K471" s="288">
        <f t="shared" si="298"/>
        <v>1.1000000000000001</v>
      </c>
      <c r="L471" s="288">
        <f t="shared" si="298"/>
        <v>1.1000000000000001</v>
      </c>
      <c r="M471" s="288">
        <f t="shared" si="298"/>
        <v>1.1000000000000001</v>
      </c>
      <c r="N471" s="288">
        <f t="shared" si="298"/>
        <v>1.1000000000000001</v>
      </c>
      <c r="O471" s="288">
        <f t="shared" si="298"/>
        <v>1.1000000000000001</v>
      </c>
      <c r="P471" s="288">
        <f t="shared" si="298"/>
        <v>1.1000000000000001</v>
      </c>
      <c r="Q471" s="288">
        <f t="shared" si="298"/>
        <v>1.1000000000000001</v>
      </c>
      <c r="R471" s="288">
        <f t="shared" si="298"/>
        <v>1.1000000000000001</v>
      </c>
      <c r="S471" s="288">
        <f t="shared" si="298"/>
        <v>1.1000000000000001</v>
      </c>
      <c r="T471" s="288">
        <f t="shared" si="298"/>
        <v>1.1000000000000001</v>
      </c>
      <c r="U471" s="288">
        <f t="shared" si="298"/>
        <v>1.1000000000000001</v>
      </c>
      <c r="V471" s="288">
        <f t="shared" si="298"/>
        <v>1.1000000000000001</v>
      </c>
      <c r="W471" s="288">
        <f t="shared" si="298"/>
        <v>1.1000000000000001</v>
      </c>
      <c r="X471" s="288">
        <f t="shared" si="298"/>
        <v>1.1000000000000001</v>
      </c>
      <c r="Y471" s="288">
        <f t="shared" si="298"/>
        <v>1.1000000000000001</v>
      </c>
      <c r="Z471" s="288">
        <f t="shared" si="298"/>
        <v>1.1000000000000001</v>
      </c>
      <c r="AA471" s="288">
        <f t="shared" si="298"/>
        <v>1.1000000000000001</v>
      </c>
      <c r="AB471" s="288">
        <f t="shared" si="298"/>
        <v>1.1000000000000001</v>
      </c>
      <c r="AC471" s="288">
        <f t="shared" si="298"/>
        <v>1.1000000000000001</v>
      </c>
      <c r="AD471" s="288">
        <f t="shared" si="298"/>
        <v>1.1000000000000001</v>
      </c>
    </row>
    <row r="472" spans="1:30" s="62" customFormat="1" outlineLevel="1">
      <c r="A472" s="214" t="s">
        <v>310</v>
      </c>
      <c r="B472" s="214" t="s">
        <v>322</v>
      </c>
      <c r="C472" s="42"/>
      <c r="D472" s="219">
        <v>2000</v>
      </c>
      <c r="E472" s="219">
        <f t="shared" ref="E472:AD472" si="299">D472</f>
        <v>2000</v>
      </c>
      <c r="F472" s="219">
        <f t="shared" si="299"/>
        <v>2000</v>
      </c>
      <c r="G472" s="219">
        <f t="shared" si="299"/>
        <v>2000</v>
      </c>
      <c r="H472" s="219">
        <f t="shared" si="299"/>
        <v>2000</v>
      </c>
      <c r="I472" s="219">
        <f t="shared" si="299"/>
        <v>2000</v>
      </c>
      <c r="J472" s="219">
        <f t="shared" si="299"/>
        <v>2000</v>
      </c>
      <c r="K472" s="219">
        <f t="shared" si="299"/>
        <v>2000</v>
      </c>
      <c r="L472" s="219">
        <f t="shared" si="299"/>
        <v>2000</v>
      </c>
      <c r="M472" s="219">
        <f t="shared" si="299"/>
        <v>2000</v>
      </c>
      <c r="N472" s="219">
        <f t="shared" si="299"/>
        <v>2000</v>
      </c>
      <c r="O472" s="219">
        <f t="shared" si="299"/>
        <v>2000</v>
      </c>
      <c r="P472" s="219">
        <f t="shared" si="299"/>
        <v>2000</v>
      </c>
      <c r="Q472" s="219">
        <f t="shared" si="299"/>
        <v>2000</v>
      </c>
      <c r="R472" s="219">
        <f t="shared" si="299"/>
        <v>2000</v>
      </c>
      <c r="S472" s="219">
        <f t="shared" si="299"/>
        <v>2000</v>
      </c>
      <c r="T472" s="219">
        <f t="shared" si="299"/>
        <v>2000</v>
      </c>
      <c r="U472" s="219">
        <f t="shared" si="299"/>
        <v>2000</v>
      </c>
      <c r="V472" s="219">
        <f t="shared" si="299"/>
        <v>2000</v>
      </c>
      <c r="W472" s="219">
        <f t="shared" si="299"/>
        <v>2000</v>
      </c>
      <c r="X472" s="219">
        <f t="shared" si="299"/>
        <v>2000</v>
      </c>
      <c r="Y472" s="219">
        <f t="shared" si="299"/>
        <v>2000</v>
      </c>
      <c r="Z472" s="219">
        <f t="shared" si="299"/>
        <v>2000</v>
      </c>
      <c r="AA472" s="219">
        <f t="shared" si="299"/>
        <v>2000</v>
      </c>
      <c r="AB472" s="219">
        <f t="shared" si="299"/>
        <v>2000</v>
      </c>
      <c r="AC472" s="219">
        <f t="shared" si="299"/>
        <v>2000</v>
      </c>
      <c r="AD472" s="219">
        <f t="shared" si="299"/>
        <v>2000</v>
      </c>
    </row>
    <row r="473" spans="1:30" s="62" customFormat="1" outlineLevel="1">
      <c r="A473" s="45" t="s">
        <v>311</v>
      </c>
      <c r="B473" s="13" t="s">
        <v>406</v>
      </c>
      <c r="C473" s="42"/>
      <c r="D473" s="57">
        <f t="shared" ref="D473:AD473" si="300">D471*D472/1000</f>
        <v>2.2000000000000002</v>
      </c>
      <c r="E473" s="57">
        <f t="shared" si="300"/>
        <v>2.2000000000000002</v>
      </c>
      <c r="F473" s="57">
        <f t="shared" si="300"/>
        <v>2.2000000000000002</v>
      </c>
      <c r="G473" s="57">
        <f t="shared" si="300"/>
        <v>2.2000000000000002</v>
      </c>
      <c r="H473" s="57">
        <f t="shared" si="300"/>
        <v>2.2000000000000002</v>
      </c>
      <c r="I473" s="57">
        <f t="shared" si="300"/>
        <v>2.2000000000000002</v>
      </c>
      <c r="J473" s="57">
        <f t="shared" si="300"/>
        <v>2.2000000000000002</v>
      </c>
      <c r="K473" s="57">
        <f t="shared" si="300"/>
        <v>2.2000000000000002</v>
      </c>
      <c r="L473" s="57">
        <f t="shared" si="300"/>
        <v>2.2000000000000002</v>
      </c>
      <c r="M473" s="57">
        <f t="shared" si="300"/>
        <v>2.2000000000000002</v>
      </c>
      <c r="N473" s="57">
        <f t="shared" si="300"/>
        <v>2.2000000000000002</v>
      </c>
      <c r="O473" s="57">
        <f t="shared" si="300"/>
        <v>2.2000000000000002</v>
      </c>
      <c r="P473" s="57">
        <f t="shared" si="300"/>
        <v>2.2000000000000002</v>
      </c>
      <c r="Q473" s="57">
        <f t="shared" si="300"/>
        <v>2.2000000000000002</v>
      </c>
      <c r="R473" s="57">
        <f t="shared" si="300"/>
        <v>2.2000000000000002</v>
      </c>
      <c r="S473" s="57">
        <f t="shared" si="300"/>
        <v>2.2000000000000002</v>
      </c>
      <c r="T473" s="57">
        <f t="shared" si="300"/>
        <v>2.2000000000000002</v>
      </c>
      <c r="U473" s="57">
        <f t="shared" si="300"/>
        <v>2.2000000000000002</v>
      </c>
      <c r="V473" s="57">
        <f t="shared" si="300"/>
        <v>2.2000000000000002</v>
      </c>
      <c r="W473" s="57">
        <f t="shared" si="300"/>
        <v>2.2000000000000002</v>
      </c>
      <c r="X473" s="57">
        <f t="shared" si="300"/>
        <v>2.2000000000000002</v>
      </c>
      <c r="Y473" s="57">
        <f t="shared" si="300"/>
        <v>2.2000000000000002</v>
      </c>
      <c r="Z473" s="57">
        <f t="shared" si="300"/>
        <v>2.2000000000000002</v>
      </c>
      <c r="AA473" s="57">
        <f t="shared" si="300"/>
        <v>2.2000000000000002</v>
      </c>
      <c r="AB473" s="57">
        <f t="shared" si="300"/>
        <v>2.2000000000000002</v>
      </c>
      <c r="AC473" s="57">
        <f t="shared" si="300"/>
        <v>2.2000000000000002</v>
      </c>
      <c r="AD473" s="57">
        <f t="shared" si="300"/>
        <v>2.2000000000000002</v>
      </c>
    </row>
    <row r="474" spans="1:30" s="62" customFormat="1" outlineLevel="1">
      <c r="A474" s="41"/>
      <c r="B474" s="60"/>
      <c r="C474" s="42"/>
      <c r="D474" s="61"/>
      <c r="E474" s="61"/>
      <c r="F474" s="61"/>
      <c r="G474" s="61"/>
      <c r="H474" s="61"/>
      <c r="I474" s="61"/>
      <c r="J474" s="61"/>
      <c r="K474" s="61"/>
      <c r="L474" s="61"/>
      <c r="M474" s="61"/>
      <c r="N474" s="61"/>
      <c r="O474" s="61"/>
      <c r="P474" s="61"/>
      <c r="Q474" s="61"/>
      <c r="R474" s="61"/>
      <c r="S474" s="61"/>
      <c r="T474" s="61"/>
      <c r="U474" s="61"/>
      <c r="V474" s="61"/>
      <c r="W474" s="61"/>
      <c r="X474" s="61"/>
      <c r="Y474" s="61"/>
      <c r="Z474" s="61"/>
      <c r="AA474" s="61"/>
      <c r="AB474" s="61"/>
      <c r="AC474" s="61"/>
      <c r="AD474" s="61"/>
    </row>
    <row r="475" spans="1:30" s="62" customFormat="1" outlineLevel="1">
      <c r="A475" s="214" t="s">
        <v>312</v>
      </c>
      <c r="B475" s="214" t="s">
        <v>313</v>
      </c>
      <c r="C475" s="42"/>
      <c r="D475" s="288">
        <v>0.7</v>
      </c>
      <c r="E475" s="288">
        <f t="shared" ref="E475:AD475" si="301">D475</f>
        <v>0.7</v>
      </c>
      <c r="F475" s="288">
        <f t="shared" si="301"/>
        <v>0.7</v>
      </c>
      <c r="G475" s="288">
        <f t="shared" si="301"/>
        <v>0.7</v>
      </c>
      <c r="H475" s="288">
        <f t="shared" si="301"/>
        <v>0.7</v>
      </c>
      <c r="I475" s="288">
        <f t="shared" si="301"/>
        <v>0.7</v>
      </c>
      <c r="J475" s="288">
        <f t="shared" si="301"/>
        <v>0.7</v>
      </c>
      <c r="K475" s="288">
        <f t="shared" si="301"/>
        <v>0.7</v>
      </c>
      <c r="L475" s="288">
        <f t="shared" si="301"/>
        <v>0.7</v>
      </c>
      <c r="M475" s="288">
        <f t="shared" si="301"/>
        <v>0.7</v>
      </c>
      <c r="N475" s="288">
        <f t="shared" si="301"/>
        <v>0.7</v>
      </c>
      <c r="O475" s="288">
        <f t="shared" si="301"/>
        <v>0.7</v>
      </c>
      <c r="P475" s="288">
        <f t="shared" si="301"/>
        <v>0.7</v>
      </c>
      <c r="Q475" s="288">
        <f t="shared" si="301"/>
        <v>0.7</v>
      </c>
      <c r="R475" s="288">
        <f t="shared" si="301"/>
        <v>0.7</v>
      </c>
      <c r="S475" s="288">
        <f t="shared" si="301"/>
        <v>0.7</v>
      </c>
      <c r="T475" s="288">
        <f t="shared" si="301"/>
        <v>0.7</v>
      </c>
      <c r="U475" s="288">
        <f t="shared" si="301"/>
        <v>0.7</v>
      </c>
      <c r="V475" s="288">
        <f t="shared" si="301"/>
        <v>0.7</v>
      </c>
      <c r="W475" s="288">
        <f t="shared" si="301"/>
        <v>0.7</v>
      </c>
      <c r="X475" s="288">
        <f t="shared" si="301"/>
        <v>0.7</v>
      </c>
      <c r="Y475" s="288">
        <f t="shared" si="301"/>
        <v>0.7</v>
      </c>
      <c r="Z475" s="288">
        <f t="shared" si="301"/>
        <v>0.7</v>
      </c>
      <c r="AA475" s="288">
        <f t="shared" si="301"/>
        <v>0.7</v>
      </c>
      <c r="AB475" s="288">
        <f t="shared" si="301"/>
        <v>0.7</v>
      </c>
      <c r="AC475" s="288">
        <f t="shared" si="301"/>
        <v>0.7</v>
      </c>
      <c r="AD475" s="288">
        <f t="shared" si="301"/>
        <v>0.7</v>
      </c>
    </row>
    <row r="476" spans="1:30" s="62" customFormat="1" outlineLevel="1">
      <c r="A476" s="214" t="s">
        <v>171</v>
      </c>
      <c r="B476" s="214" t="s">
        <v>323</v>
      </c>
      <c r="C476" s="42"/>
      <c r="D476" s="288">
        <v>0.3</v>
      </c>
      <c r="E476" s="288">
        <f t="shared" ref="E476:AD476" si="302">D476</f>
        <v>0.3</v>
      </c>
      <c r="F476" s="288">
        <f t="shared" si="302"/>
        <v>0.3</v>
      </c>
      <c r="G476" s="288">
        <f t="shared" si="302"/>
        <v>0.3</v>
      </c>
      <c r="H476" s="288">
        <f t="shared" si="302"/>
        <v>0.3</v>
      </c>
      <c r="I476" s="288">
        <f t="shared" si="302"/>
        <v>0.3</v>
      </c>
      <c r="J476" s="288">
        <f t="shared" si="302"/>
        <v>0.3</v>
      </c>
      <c r="K476" s="288">
        <f t="shared" si="302"/>
        <v>0.3</v>
      </c>
      <c r="L476" s="288">
        <f t="shared" si="302"/>
        <v>0.3</v>
      </c>
      <c r="M476" s="288">
        <f t="shared" si="302"/>
        <v>0.3</v>
      </c>
      <c r="N476" s="288">
        <f t="shared" si="302"/>
        <v>0.3</v>
      </c>
      <c r="O476" s="288">
        <f t="shared" si="302"/>
        <v>0.3</v>
      </c>
      <c r="P476" s="288">
        <f t="shared" si="302"/>
        <v>0.3</v>
      </c>
      <c r="Q476" s="288">
        <f t="shared" si="302"/>
        <v>0.3</v>
      </c>
      <c r="R476" s="288">
        <f t="shared" si="302"/>
        <v>0.3</v>
      </c>
      <c r="S476" s="288">
        <f t="shared" si="302"/>
        <v>0.3</v>
      </c>
      <c r="T476" s="288">
        <f t="shared" si="302"/>
        <v>0.3</v>
      </c>
      <c r="U476" s="288">
        <f t="shared" si="302"/>
        <v>0.3</v>
      </c>
      <c r="V476" s="288">
        <f t="shared" si="302"/>
        <v>0.3</v>
      </c>
      <c r="W476" s="288">
        <f t="shared" si="302"/>
        <v>0.3</v>
      </c>
      <c r="X476" s="288">
        <f t="shared" si="302"/>
        <v>0.3</v>
      </c>
      <c r="Y476" s="288">
        <f t="shared" si="302"/>
        <v>0.3</v>
      </c>
      <c r="Z476" s="288">
        <f t="shared" si="302"/>
        <v>0.3</v>
      </c>
      <c r="AA476" s="288">
        <f t="shared" si="302"/>
        <v>0.3</v>
      </c>
      <c r="AB476" s="288">
        <f t="shared" si="302"/>
        <v>0.3</v>
      </c>
      <c r="AC476" s="288">
        <f t="shared" si="302"/>
        <v>0.3</v>
      </c>
      <c r="AD476" s="288">
        <f t="shared" si="302"/>
        <v>0.3</v>
      </c>
    </row>
    <row r="477" spans="1:30" s="62" customFormat="1" outlineLevel="1">
      <c r="A477" s="45" t="s">
        <v>324</v>
      </c>
      <c r="B477" s="13" t="s">
        <v>305</v>
      </c>
      <c r="C477" s="44"/>
      <c r="D477" s="57">
        <f t="shared" ref="D477:AD477" si="303">D475*D476</f>
        <v>0.21</v>
      </c>
      <c r="E477" s="57">
        <f t="shared" si="303"/>
        <v>0.21</v>
      </c>
      <c r="F477" s="57">
        <f t="shared" si="303"/>
        <v>0.21</v>
      </c>
      <c r="G477" s="57">
        <f t="shared" si="303"/>
        <v>0.21</v>
      </c>
      <c r="H477" s="57">
        <f t="shared" si="303"/>
        <v>0.21</v>
      </c>
      <c r="I477" s="57">
        <f t="shared" si="303"/>
        <v>0.21</v>
      </c>
      <c r="J477" s="57">
        <f t="shared" si="303"/>
        <v>0.21</v>
      </c>
      <c r="K477" s="57">
        <f t="shared" si="303"/>
        <v>0.21</v>
      </c>
      <c r="L477" s="57">
        <f t="shared" si="303"/>
        <v>0.21</v>
      </c>
      <c r="M477" s="57">
        <f t="shared" si="303"/>
        <v>0.21</v>
      </c>
      <c r="N477" s="57">
        <f t="shared" si="303"/>
        <v>0.21</v>
      </c>
      <c r="O477" s="57">
        <f t="shared" si="303"/>
        <v>0.21</v>
      </c>
      <c r="P477" s="57">
        <f t="shared" si="303"/>
        <v>0.21</v>
      </c>
      <c r="Q477" s="57">
        <f t="shared" si="303"/>
        <v>0.21</v>
      </c>
      <c r="R477" s="57">
        <f t="shared" si="303"/>
        <v>0.21</v>
      </c>
      <c r="S477" s="57">
        <f t="shared" si="303"/>
        <v>0.21</v>
      </c>
      <c r="T477" s="57">
        <f t="shared" si="303"/>
        <v>0.21</v>
      </c>
      <c r="U477" s="57">
        <f t="shared" si="303"/>
        <v>0.21</v>
      </c>
      <c r="V477" s="57">
        <f t="shared" si="303"/>
        <v>0.21</v>
      </c>
      <c r="W477" s="57">
        <f t="shared" si="303"/>
        <v>0.21</v>
      </c>
      <c r="X477" s="57">
        <f t="shared" si="303"/>
        <v>0.21</v>
      </c>
      <c r="Y477" s="57">
        <f t="shared" si="303"/>
        <v>0.21</v>
      </c>
      <c r="Z477" s="57">
        <f t="shared" si="303"/>
        <v>0.21</v>
      </c>
      <c r="AA477" s="57">
        <f t="shared" si="303"/>
        <v>0.21</v>
      </c>
      <c r="AB477" s="57">
        <f t="shared" si="303"/>
        <v>0.21</v>
      </c>
      <c r="AC477" s="57">
        <f t="shared" si="303"/>
        <v>0.21</v>
      </c>
      <c r="AD477" s="57">
        <f t="shared" si="303"/>
        <v>0.21</v>
      </c>
    </row>
    <row r="478" spans="1:30" s="62" customFormat="1" outlineLevel="1">
      <c r="A478" s="45"/>
      <c r="B478" s="13"/>
      <c r="C478" s="44"/>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row>
    <row r="479" spans="1:30" s="62" customFormat="1" outlineLevel="1">
      <c r="A479" s="45" t="s">
        <v>306</v>
      </c>
      <c r="B479" s="13" t="s">
        <v>305</v>
      </c>
      <c r="C479" s="44"/>
      <c r="D479" s="289">
        <f t="shared" ref="D479:AD479" si="304">D469+D473+D477</f>
        <v>6.41</v>
      </c>
      <c r="E479" s="289">
        <f t="shared" si="304"/>
        <v>6.41</v>
      </c>
      <c r="F479" s="289">
        <f t="shared" si="304"/>
        <v>6.41</v>
      </c>
      <c r="G479" s="289">
        <f t="shared" si="304"/>
        <v>6.41</v>
      </c>
      <c r="H479" s="289">
        <f t="shared" si="304"/>
        <v>6.41</v>
      </c>
      <c r="I479" s="289">
        <f t="shared" si="304"/>
        <v>6.41</v>
      </c>
      <c r="J479" s="289">
        <f t="shared" si="304"/>
        <v>6.41</v>
      </c>
      <c r="K479" s="289">
        <f t="shared" si="304"/>
        <v>6.41</v>
      </c>
      <c r="L479" s="289">
        <f t="shared" si="304"/>
        <v>6.41</v>
      </c>
      <c r="M479" s="289">
        <f t="shared" si="304"/>
        <v>6.41</v>
      </c>
      <c r="N479" s="289">
        <f t="shared" si="304"/>
        <v>6.41</v>
      </c>
      <c r="O479" s="289">
        <f t="shared" si="304"/>
        <v>6.41</v>
      </c>
      <c r="P479" s="289">
        <f t="shared" si="304"/>
        <v>6.41</v>
      </c>
      <c r="Q479" s="289">
        <f t="shared" si="304"/>
        <v>6.41</v>
      </c>
      <c r="R479" s="289">
        <f t="shared" si="304"/>
        <v>6.41</v>
      </c>
      <c r="S479" s="289">
        <f t="shared" si="304"/>
        <v>6.41</v>
      </c>
      <c r="T479" s="289">
        <f t="shared" si="304"/>
        <v>6.41</v>
      </c>
      <c r="U479" s="289">
        <f t="shared" si="304"/>
        <v>6.41</v>
      </c>
      <c r="V479" s="289">
        <f t="shared" si="304"/>
        <v>6.41</v>
      </c>
      <c r="W479" s="289">
        <f t="shared" si="304"/>
        <v>6.41</v>
      </c>
      <c r="X479" s="289">
        <f t="shared" si="304"/>
        <v>6.41</v>
      </c>
      <c r="Y479" s="289">
        <f t="shared" si="304"/>
        <v>6.41</v>
      </c>
      <c r="Z479" s="289">
        <f t="shared" si="304"/>
        <v>6.41</v>
      </c>
      <c r="AA479" s="289">
        <f t="shared" si="304"/>
        <v>6.41</v>
      </c>
      <c r="AB479" s="289">
        <f t="shared" si="304"/>
        <v>6.41</v>
      </c>
      <c r="AC479" s="289">
        <f t="shared" si="304"/>
        <v>6.41</v>
      </c>
      <c r="AD479" s="289">
        <f t="shared" si="304"/>
        <v>6.41</v>
      </c>
    </row>
    <row r="480" spans="1:30" s="62" customFormat="1" outlineLevel="1">
      <c r="A480" s="45"/>
      <c r="B480" s="13"/>
      <c r="C480" s="44"/>
      <c r="D480" s="57"/>
      <c r="E480" s="57"/>
      <c r="F480" s="57"/>
      <c r="G480" s="61"/>
      <c r="H480" s="61"/>
      <c r="I480" s="61"/>
      <c r="J480" s="61"/>
      <c r="K480" s="61"/>
      <c r="L480" s="61"/>
      <c r="M480" s="61"/>
      <c r="N480" s="61"/>
      <c r="O480" s="61"/>
      <c r="P480" s="61"/>
      <c r="Q480" s="61"/>
      <c r="R480" s="61"/>
      <c r="S480" s="61"/>
      <c r="T480" s="61"/>
      <c r="U480" s="61"/>
      <c r="V480" s="61"/>
      <c r="W480" s="61"/>
      <c r="X480" s="61"/>
      <c r="Y480" s="61"/>
      <c r="Z480" s="61"/>
      <c r="AA480" s="61"/>
      <c r="AB480" s="61"/>
      <c r="AC480" s="61"/>
      <c r="AD480" s="61"/>
    </row>
    <row r="481" spans="1:30" s="62" customFormat="1" ht="15.5" outlineLevel="1">
      <c r="A481" s="145" t="s">
        <v>315</v>
      </c>
      <c r="B481" s="114"/>
      <c r="C481" s="40"/>
      <c r="D481" s="115"/>
      <c r="E481" s="115"/>
      <c r="F481" s="115"/>
      <c r="G481" s="61"/>
      <c r="H481" s="61"/>
      <c r="I481" s="61"/>
      <c r="J481" s="61"/>
      <c r="K481" s="61"/>
      <c r="L481" s="61"/>
      <c r="M481" s="61"/>
      <c r="N481" s="61"/>
      <c r="O481" s="61"/>
      <c r="P481" s="61"/>
      <c r="Q481" s="61"/>
      <c r="R481" s="61"/>
      <c r="S481" s="61"/>
      <c r="T481" s="61"/>
      <c r="U481" s="61"/>
      <c r="V481" s="61"/>
      <c r="W481" s="61"/>
      <c r="X481" s="61"/>
      <c r="Y481" s="61"/>
      <c r="Z481" s="61"/>
      <c r="AA481" s="61"/>
      <c r="AB481" s="61"/>
      <c r="AC481" s="61"/>
      <c r="AD481" s="61"/>
    </row>
    <row r="482" spans="1:30" s="62" customFormat="1" outlineLevel="1">
      <c r="A482" s="214" t="s">
        <v>316</v>
      </c>
      <c r="B482" s="214" t="s">
        <v>317</v>
      </c>
      <c r="C482" s="42"/>
      <c r="D482" s="219">
        <v>38</v>
      </c>
      <c r="E482" s="219">
        <f t="shared" ref="E482:AD482" si="305">D482</f>
        <v>38</v>
      </c>
      <c r="F482" s="219">
        <f t="shared" si="305"/>
        <v>38</v>
      </c>
      <c r="G482" s="219">
        <f t="shared" si="305"/>
        <v>38</v>
      </c>
      <c r="H482" s="219">
        <f t="shared" si="305"/>
        <v>38</v>
      </c>
      <c r="I482" s="219">
        <f t="shared" si="305"/>
        <v>38</v>
      </c>
      <c r="J482" s="219">
        <f t="shared" si="305"/>
        <v>38</v>
      </c>
      <c r="K482" s="219">
        <f t="shared" si="305"/>
        <v>38</v>
      </c>
      <c r="L482" s="219">
        <f t="shared" si="305"/>
        <v>38</v>
      </c>
      <c r="M482" s="219">
        <f t="shared" si="305"/>
        <v>38</v>
      </c>
      <c r="N482" s="219">
        <f t="shared" si="305"/>
        <v>38</v>
      </c>
      <c r="O482" s="219">
        <f t="shared" si="305"/>
        <v>38</v>
      </c>
      <c r="P482" s="219">
        <f t="shared" si="305"/>
        <v>38</v>
      </c>
      <c r="Q482" s="219">
        <f t="shared" si="305"/>
        <v>38</v>
      </c>
      <c r="R482" s="219">
        <f t="shared" si="305"/>
        <v>38</v>
      </c>
      <c r="S482" s="219">
        <f t="shared" si="305"/>
        <v>38</v>
      </c>
      <c r="T482" s="219">
        <f t="shared" si="305"/>
        <v>38</v>
      </c>
      <c r="U482" s="219">
        <f t="shared" si="305"/>
        <v>38</v>
      </c>
      <c r="V482" s="219">
        <f t="shared" si="305"/>
        <v>38</v>
      </c>
      <c r="W482" s="219">
        <f t="shared" si="305"/>
        <v>38</v>
      </c>
      <c r="X482" s="219">
        <f t="shared" si="305"/>
        <v>38</v>
      </c>
      <c r="Y482" s="219">
        <f t="shared" si="305"/>
        <v>38</v>
      </c>
      <c r="Z482" s="219">
        <f t="shared" si="305"/>
        <v>38</v>
      </c>
      <c r="AA482" s="219">
        <f t="shared" si="305"/>
        <v>38</v>
      </c>
      <c r="AB482" s="219">
        <f t="shared" si="305"/>
        <v>38</v>
      </c>
      <c r="AC482" s="219">
        <f t="shared" si="305"/>
        <v>38</v>
      </c>
      <c r="AD482" s="219">
        <f t="shared" si="305"/>
        <v>38</v>
      </c>
    </row>
    <row r="483" spans="1:30" s="62" customFormat="1" outlineLevel="1">
      <c r="A483" s="214" t="s">
        <v>170</v>
      </c>
      <c r="B483" s="214" t="s">
        <v>326</v>
      </c>
      <c r="C483" s="42"/>
      <c r="D483" s="288">
        <v>0.2</v>
      </c>
      <c r="E483" s="288">
        <f t="shared" ref="E483:AD483" si="306">D483</f>
        <v>0.2</v>
      </c>
      <c r="F483" s="288">
        <f t="shared" si="306"/>
        <v>0.2</v>
      </c>
      <c r="G483" s="288">
        <f t="shared" si="306"/>
        <v>0.2</v>
      </c>
      <c r="H483" s="288">
        <f t="shared" si="306"/>
        <v>0.2</v>
      </c>
      <c r="I483" s="288">
        <f t="shared" si="306"/>
        <v>0.2</v>
      </c>
      <c r="J483" s="288">
        <f t="shared" si="306"/>
        <v>0.2</v>
      </c>
      <c r="K483" s="288">
        <f t="shared" si="306"/>
        <v>0.2</v>
      </c>
      <c r="L483" s="288">
        <f t="shared" si="306"/>
        <v>0.2</v>
      </c>
      <c r="M483" s="288">
        <f t="shared" si="306"/>
        <v>0.2</v>
      </c>
      <c r="N483" s="288">
        <f t="shared" si="306"/>
        <v>0.2</v>
      </c>
      <c r="O483" s="288">
        <f t="shared" si="306"/>
        <v>0.2</v>
      </c>
      <c r="P483" s="288">
        <f t="shared" si="306"/>
        <v>0.2</v>
      </c>
      <c r="Q483" s="288">
        <f t="shared" si="306"/>
        <v>0.2</v>
      </c>
      <c r="R483" s="288">
        <f t="shared" si="306"/>
        <v>0.2</v>
      </c>
      <c r="S483" s="288">
        <f t="shared" si="306"/>
        <v>0.2</v>
      </c>
      <c r="T483" s="288">
        <f t="shared" si="306"/>
        <v>0.2</v>
      </c>
      <c r="U483" s="288">
        <f t="shared" si="306"/>
        <v>0.2</v>
      </c>
      <c r="V483" s="288">
        <f t="shared" si="306"/>
        <v>0.2</v>
      </c>
      <c r="W483" s="288">
        <f t="shared" si="306"/>
        <v>0.2</v>
      </c>
      <c r="X483" s="288">
        <f t="shared" si="306"/>
        <v>0.2</v>
      </c>
      <c r="Y483" s="288">
        <f t="shared" si="306"/>
        <v>0.2</v>
      </c>
      <c r="Z483" s="288">
        <f t="shared" si="306"/>
        <v>0.2</v>
      </c>
      <c r="AA483" s="288">
        <f t="shared" si="306"/>
        <v>0.2</v>
      </c>
      <c r="AB483" s="288">
        <f t="shared" si="306"/>
        <v>0.2</v>
      </c>
      <c r="AC483" s="288">
        <f t="shared" si="306"/>
        <v>0.2</v>
      </c>
      <c r="AD483" s="288">
        <f t="shared" si="306"/>
        <v>0.2</v>
      </c>
    </row>
    <row r="484" spans="1:30" s="62" customFormat="1" outlineLevel="1">
      <c r="A484" s="45" t="s">
        <v>315</v>
      </c>
      <c r="B484" s="13" t="s">
        <v>305</v>
      </c>
      <c r="C484" s="42"/>
      <c r="D484" s="57">
        <f t="shared" ref="D484:AD484" si="307">D482*D483</f>
        <v>7.6000000000000005</v>
      </c>
      <c r="E484" s="57">
        <f t="shared" si="307"/>
        <v>7.6000000000000005</v>
      </c>
      <c r="F484" s="57">
        <f t="shared" si="307"/>
        <v>7.6000000000000005</v>
      </c>
      <c r="G484" s="57">
        <f t="shared" si="307"/>
        <v>7.6000000000000005</v>
      </c>
      <c r="H484" s="57">
        <f t="shared" si="307"/>
        <v>7.6000000000000005</v>
      </c>
      <c r="I484" s="57">
        <f t="shared" si="307"/>
        <v>7.6000000000000005</v>
      </c>
      <c r="J484" s="57">
        <f t="shared" si="307"/>
        <v>7.6000000000000005</v>
      </c>
      <c r="K484" s="57">
        <f t="shared" si="307"/>
        <v>7.6000000000000005</v>
      </c>
      <c r="L484" s="57">
        <f t="shared" si="307"/>
        <v>7.6000000000000005</v>
      </c>
      <c r="M484" s="57">
        <f t="shared" si="307"/>
        <v>7.6000000000000005</v>
      </c>
      <c r="N484" s="57">
        <f t="shared" si="307"/>
        <v>7.6000000000000005</v>
      </c>
      <c r="O484" s="57">
        <f t="shared" si="307"/>
        <v>7.6000000000000005</v>
      </c>
      <c r="P484" s="57">
        <f t="shared" si="307"/>
        <v>7.6000000000000005</v>
      </c>
      <c r="Q484" s="57">
        <f t="shared" si="307"/>
        <v>7.6000000000000005</v>
      </c>
      <c r="R484" s="57">
        <f t="shared" si="307"/>
        <v>7.6000000000000005</v>
      </c>
      <c r="S484" s="57">
        <f t="shared" si="307"/>
        <v>7.6000000000000005</v>
      </c>
      <c r="T484" s="57">
        <f t="shared" si="307"/>
        <v>7.6000000000000005</v>
      </c>
      <c r="U484" s="57">
        <f t="shared" si="307"/>
        <v>7.6000000000000005</v>
      </c>
      <c r="V484" s="57">
        <f t="shared" si="307"/>
        <v>7.6000000000000005</v>
      </c>
      <c r="W484" s="57">
        <f t="shared" si="307"/>
        <v>7.6000000000000005</v>
      </c>
      <c r="X484" s="57">
        <f t="shared" si="307"/>
        <v>7.6000000000000005</v>
      </c>
      <c r="Y484" s="57">
        <f t="shared" si="307"/>
        <v>7.6000000000000005</v>
      </c>
      <c r="Z484" s="57">
        <f t="shared" si="307"/>
        <v>7.6000000000000005</v>
      </c>
      <c r="AA484" s="57">
        <f t="shared" si="307"/>
        <v>7.6000000000000005</v>
      </c>
      <c r="AB484" s="57">
        <f t="shared" si="307"/>
        <v>7.6000000000000005</v>
      </c>
      <c r="AC484" s="57">
        <f t="shared" si="307"/>
        <v>7.6000000000000005</v>
      </c>
      <c r="AD484" s="57">
        <f t="shared" si="307"/>
        <v>7.6000000000000005</v>
      </c>
    </row>
    <row r="485" spans="1:30" s="62" customFormat="1" outlineLevel="1">
      <c r="A485" s="45"/>
      <c r="B485" s="13"/>
      <c r="C485" s="44"/>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row>
    <row r="486" spans="1:30" s="62" customFormat="1" ht="15.5" outlineLevel="1">
      <c r="A486" s="145" t="s">
        <v>328</v>
      </c>
      <c r="B486" s="114"/>
      <c r="C486" s="40"/>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row>
    <row r="487" spans="1:30" s="62" customFormat="1" outlineLevel="1">
      <c r="A487" s="214" t="s">
        <v>325</v>
      </c>
      <c r="B487" s="214" t="s">
        <v>305</v>
      </c>
      <c r="C487" s="42"/>
      <c r="D487" s="288">
        <v>2</v>
      </c>
      <c r="E487" s="288">
        <f t="shared" ref="E487:AD487" si="308">D487</f>
        <v>2</v>
      </c>
      <c r="F487" s="288">
        <f t="shared" si="308"/>
        <v>2</v>
      </c>
      <c r="G487" s="288">
        <f t="shared" si="308"/>
        <v>2</v>
      </c>
      <c r="H487" s="288">
        <f t="shared" si="308"/>
        <v>2</v>
      </c>
      <c r="I487" s="288">
        <f t="shared" si="308"/>
        <v>2</v>
      </c>
      <c r="J487" s="288">
        <f t="shared" si="308"/>
        <v>2</v>
      </c>
      <c r="K487" s="288">
        <f t="shared" si="308"/>
        <v>2</v>
      </c>
      <c r="L487" s="288">
        <f t="shared" si="308"/>
        <v>2</v>
      </c>
      <c r="M487" s="288">
        <f t="shared" si="308"/>
        <v>2</v>
      </c>
      <c r="N487" s="288">
        <f t="shared" si="308"/>
        <v>2</v>
      </c>
      <c r="O487" s="288">
        <f t="shared" si="308"/>
        <v>2</v>
      </c>
      <c r="P487" s="288">
        <f t="shared" si="308"/>
        <v>2</v>
      </c>
      <c r="Q487" s="288">
        <f t="shared" si="308"/>
        <v>2</v>
      </c>
      <c r="R487" s="288">
        <f t="shared" si="308"/>
        <v>2</v>
      </c>
      <c r="S487" s="288">
        <f t="shared" si="308"/>
        <v>2</v>
      </c>
      <c r="T487" s="288">
        <f t="shared" si="308"/>
        <v>2</v>
      </c>
      <c r="U487" s="288">
        <f t="shared" si="308"/>
        <v>2</v>
      </c>
      <c r="V487" s="288">
        <f t="shared" si="308"/>
        <v>2</v>
      </c>
      <c r="W487" s="288">
        <f t="shared" si="308"/>
        <v>2</v>
      </c>
      <c r="X487" s="288">
        <f t="shared" si="308"/>
        <v>2</v>
      </c>
      <c r="Y487" s="288">
        <f t="shared" si="308"/>
        <v>2</v>
      </c>
      <c r="Z487" s="288">
        <f t="shared" si="308"/>
        <v>2</v>
      </c>
      <c r="AA487" s="288">
        <f t="shared" si="308"/>
        <v>2</v>
      </c>
      <c r="AB487" s="288">
        <f t="shared" si="308"/>
        <v>2</v>
      </c>
      <c r="AC487" s="288">
        <f t="shared" si="308"/>
        <v>2</v>
      </c>
      <c r="AD487" s="288">
        <f t="shared" si="308"/>
        <v>2</v>
      </c>
    </row>
    <row r="488" spans="1:30" s="62" customFormat="1" outlineLevel="1">
      <c r="A488" s="45"/>
      <c r="B488" s="13"/>
      <c r="C488" s="44"/>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row>
    <row r="489" spans="1:30" s="62" customFormat="1" ht="15.5" outlineLevel="1">
      <c r="A489" s="145" t="s">
        <v>314</v>
      </c>
      <c r="B489" s="114"/>
      <c r="C489" s="40"/>
      <c r="D489" s="115"/>
      <c r="E489" s="115"/>
      <c r="F489" s="115"/>
      <c r="G489" s="61"/>
      <c r="H489" s="61"/>
      <c r="I489" s="61"/>
      <c r="J489" s="61"/>
      <c r="K489" s="61"/>
      <c r="L489" s="61"/>
      <c r="M489" s="61"/>
      <c r="N489" s="61"/>
      <c r="O489" s="61"/>
      <c r="P489" s="61"/>
      <c r="Q489" s="61"/>
      <c r="R489" s="61"/>
      <c r="S489" s="61"/>
      <c r="T489" s="61"/>
      <c r="U489" s="61"/>
      <c r="V489" s="61"/>
      <c r="W489" s="61"/>
      <c r="X489" s="61"/>
      <c r="Y489" s="61"/>
      <c r="Z489" s="61"/>
      <c r="AA489" s="61"/>
      <c r="AB489" s="61"/>
      <c r="AC489" s="61"/>
      <c r="AD489" s="61"/>
    </row>
    <row r="490" spans="1:30" s="62" customFormat="1" outlineLevel="1">
      <c r="A490" s="214" t="s">
        <v>314</v>
      </c>
      <c r="B490" s="214" t="s">
        <v>305</v>
      </c>
      <c r="C490" s="40"/>
      <c r="D490" s="288">
        <v>1.3</v>
      </c>
      <c r="E490" s="288">
        <f t="shared" ref="E490:AD490" si="309">D490</f>
        <v>1.3</v>
      </c>
      <c r="F490" s="288">
        <f t="shared" si="309"/>
        <v>1.3</v>
      </c>
      <c r="G490" s="288">
        <f t="shared" si="309"/>
        <v>1.3</v>
      </c>
      <c r="H490" s="288">
        <f t="shared" si="309"/>
        <v>1.3</v>
      </c>
      <c r="I490" s="288">
        <f t="shared" si="309"/>
        <v>1.3</v>
      </c>
      <c r="J490" s="288">
        <f t="shared" si="309"/>
        <v>1.3</v>
      </c>
      <c r="K490" s="288">
        <f t="shared" si="309"/>
        <v>1.3</v>
      </c>
      <c r="L490" s="288">
        <f t="shared" si="309"/>
        <v>1.3</v>
      </c>
      <c r="M490" s="288">
        <f t="shared" si="309"/>
        <v>1.3</v>
      </c>
      <c r="N490" s="288">
        <f t="shared" si="309"/>
        <v>1.3</v>
      </c>
      <c r="O490" s="288">
        <f t="shared" si="309"/>
        <v>1.3</v>
      </c>
      <c r="P490" s="288">
        <f t="shared" si="309"/>
        <v>1.3</v>
      </c>
      <c r="Q490" s="288">
        <f t="shared" si="309"/>
        <v>1.3</v>
      </c>
      <c r="R490" s="288">
        <f t="shared" si="309"/>
        <v>1.3</v>
      </c>
      <c r="S490" s="288">
        <f t="shared" si="309"/>
        <v>1.3</v>
      </c>
      <c r="T490" s="288">
        <f t="shared" si="309"/>
        <v>1.3</v>
      </c>
      <c r="U490" s="288">
        <f t="shared" si="309"/>
        <v>1.3</v>
      </c>
      <c r="V490" s="288">
        <f t="shared" si="309"/>
        <v>1.3</v>
      </c>
      <c r="W490" s="288">
        <f t="shared" si="309"/>
        <v>1.3</v>
      </c>
      <c r="X490" s="288">
        <f t="shared" si="309"/>
        <v>1.3</v>
      </c>
      <c r="Y490" s="288">
        <f t="shared" si="309"/>
        <v>1.3</v>
      </c>
      <c r="Z490" s="288">
        <f t="shared" si="309"/>
        <v>1.3</v>
      </c>
      <c r="AA490" s="288">
        <f t="shared" si="309"/>
        <v>1.3</v>
      </c>
      <c r="AB490" s="288">
        <f t="shared" si="309"/>
        <v>1.3</v>
      </c>
      <c r="AC490" s="288">
        <f t="shared" si="309"/>
        <v>1.3</v>
      </c>
      <c r="AD490" s="288">
        <f t="shared" si="309"/>
        <v>1.3</v>
      </c>
    </row>
    <row r="491" spans="1:30" s="62" customFormat="1" outlineLevel="1">
      <c r="A491" s="45"/>
      <c r="B491" s="13"/>
      <c r="C491" s="40"/>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row>
    <row r="492" spans="1:30" s="62" customFormat="1" outlineLevel="1">
      <c r="A492" s="45" t="s">
        <v>369</v>
      </c>
      <c r="B492" s="13" t="s">
        <v>327</v>
      </c>
      <c r="C492" s="40"/>
      <c r="D492" s="57">
        <f t="shared" ref="D492:AD492" si="310">D479+D484+D487+D490</f>
        <v>17.310000000000002</v>
      </c>
      <c r="E492" s="57">
        <f t="shared" si="310"/>
        <v>17.310000000000002</v>
      </c>
      <c r="F492" s="57">
        <f t="shared" si="310"/>
        <v>17.310000000000002</v>
      </c>
      <c r="G492" s="57">
        <f t="shared" si="310"/>
        <v>17.310000000000002</v>
      </c>
      <c r="H492" s="57">
        <f t="shared" si="310"/>
        <v>17.310000000000002</v>
      </c>
      <c r="I492" s="57">
        <f t="shared" si="310"/>
        <v>17.310000000000002</v>
      </c>
      <c r="J492" s="57">
        <f t="shared" si="310"/>
        <v>17.310000000000002</v>
      </c>
      <c r="K492" s="57">
        <f t="shared" si="310"/>
        <v>17.310000000000002</v>
      </c>
      <c r="L492" s="57">
        <f t="shared" si="310"/>
        <v>17.310000000000002</v>
      </c>
      <c r="M492" s="57">
        <f t="shared" si="310"/>
        <v>17.310000000000002</v>
      </c>
      <c r="N492" s="57">
        <f t="shared" si="310"/>
        <v>17.310000000000002</v>
      </c>
      <c r="O492" s="57">
        <f t="shared" si="310"/>
        <v>17.310000000000002</v>
      </c>
      <c r="P492" s="57">
        <f t="shared" si="310"/>
        <v>17.310000000000002</v>
      </c>
      <c r="Q492" s="57">
        <f t="shared" si="310"/>
        <v>17.310000000000002</v>
      </c>
      <c r="R492" s="57">
        <f t="shared" si="310"/>
        <v>17.310000000000002</v>
      </c>
      <c r="S492" s="57">
        <f t="shared" si="310"/>
        <v>17.310000000000002</v>
      </c>
      <c r="T492" s="57">
        <f t="shared" si="310"/>
        <v>17.310000000000002</v>
      </c>
      <c r="U492" s="57">
        <f t="shared" si="310"/>
        <v>17.310000000000002</v>
      </c>
      <c r="V492" s="57">
        <f t="shared" si="310"/>
        <v>17.310000000000002</v>
      </c>
      <c r="W492" s="57">
        <f t="shared" si="310"/>
        <v>17.310000000000002</v>
      </c>
      <c r="X492" s="57">
        <f t="shared" si="310"/>
        <v>17.310000000000002</v>
      </c>
      <c r="Y492" s="57">
        <f t="shared" si="310"/>
        <v>17.310000000000002</v>
      </c>
      <c r="Z492" s="57">
        <f t="shared" si="310"/>
        <v>17.310000000000002</v>
      </c>
      <c r="AA492" s="57">
        <f t="shared" si="310"/>
        <v>17.310000000000002</v>
      </c>
      <c r="AB492" s="57">
        <f t="shared" si="310"/>
        <v>17.310000000000002</v>
      </c>
      <c r="AC492" s="57">
        <f t="shared" si="310"/>
        <v>17.310000000000002</v>
      </c>
      <c r="AD492" s="57">
        <f t="shared" si="310"/>
        <v>17.310000000000002</v>
      </c>
    </row>
    <row r="493" spans="1:30" s="62" customFormat="1" outlineLevel="1">
      <c r="A493" s="45"/>
      <c r="B493" s="45"/>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c r="AA493" s="56"/>
      <c r="AB493" s="56"/>
      <c r="AC493" s="56"/>
      <c r="AD493" s="56"/>
    </row>
    <row r="494" spans="1:30" s="62" customFormat="1" outlineLevel="1">
      <c r="A494" s="45" t="s">
        <v>330</v>
      </c>
      <c r="B494" s="13" t="s">
        <v>284</v>
      </c>
      <c r="C494" s="42">
        <f>SUM(D494:AD494)</f>
        <v>2042.5800000000004</v>
      </c>
      <c r="D494" s="70">
        <f t="shared" ref="D494:AD494" si="311">D465*D492</f>
        <v>0</v>
      </c>
      <c r="E494" s="70">
        <f t="shared" si="311"/>
        <v>0</v>
      </c>
      <c r="F494" s="70">
        <f t="shared" si="311"/>
        <v>87.881538461538469</v>
      </c>
      <c r="G494" s="70">
        <f t="shared" si="311"/>
        <v>138.48000000000002</v>
      </c>
      <c r="H494" s="70">
        <f t="shared" si="311"/>
        <v>138.48000000000002</v>
      </c>
      <c r="I494" s="70">
        <f t="shared" si="311"/>
        <v>138.48000000000002</v>
      </c>
      <c r="J494" s="70">
        <f t="shared" si="311"/>
        <v>144.4719230769231</v>
      </c>
      <c r="K494" s="70">
        <f t="shared" si="311"/>
        <v>132.48807692307693</v>
      </c>
      <c r="L494" s="70">
        <f t="shared" si="311"/>
        <v>138.48000000000002</v>
      </c>
      <c r="M494" s="70">
        <f t="shared" si="311"/>
        <v>138.48000000000002</v>
      </c>
      <c r="N494" s="70">
        <f t="shared" si="311"/>
        <v>138.48000000000002</v>
      </c>
      <c r="O494" s="70">
        <f t="shared" si="311"/>
        <v>138.48000000000002</v>
      </c>
      <c r="P494" s="70">
        <f t="shared" si="311"/>
        <v>138.48000000000002</v>
      </c>
      <c r="Q494" s="70">
        <f t="shared" si="311"/>
        <v>138.48000000000002</v>
      </c>
      <c r="R494" s="70">
        <f t="shared" si="311"/>
        <v>138.48000000000002</v>
      </c>
      <c r="S494" s="70">
        <f t="shared" si="311"/>
        <v>138.48000000000002</v>
      </c>
      <c r="T494" s="70">
        <f t="shared" si="311"/>
        <v>154.45846153846156</v>
      </c>
      <c r="U494" s="70">
        <f t="shared" si="311"/>
        <v>0</v>
      </c>
      <c r="V494" s="70">
        <f t="shared" si="311"/>
        <v>0</v>
      </c>
      <c r="W494" s="70">
        <f t="shared" si="311"/>
        <v>0</v>
      </c>
      <c r="X494" s="70">
        <f t="shared" si="311"/>
        <v>0</v>
      </c>
      <c r="Y494" s="70">
        <f t="shared" si="311"/>
        <v>0</v>
      </c>
      <c r="Z494" s="70">
        <f t="shared" si="311"/>
        <v>0</v>
      </c>
      <c r="AA494" s="70">
        <f t="shared" si="311"/>
        <v>0</v>
      </c>
      <c r="AB494" s="70">
        <f t="shared" si="311"/>
        <v>0</v>
      </c>
      <c r="AC494" s="70">
        <f t="shared" si="311"/>
        <v>0</v>
      </c>
      <c r="AD494" s="70">
        <f t="shared" si="311"/>
        <v>0</v>
      </c>
    </row>
    <row r="495" spans="1:30" s="62" customFormat="1" outlineLevel="1">
      <c r="A495" s="95"/>
      <c r="B495" s="96"/>
      <c r="C495" s="94"/>
      <c r="D495" s="44"/>
      <c r="E495" s="44"/>
      <c r="F495" s="44"/>
      <c r="G495" s="61"/>
      <c r="H495" s="61"/>
      <c r="I495" s="61"/>
      <c r="J495" s="61"/>
      <c r="K495" s="61"/>
      <c r="L495" s="61"/>
      <c r="M495" s="61"/>
      <c r="N495" s="61"/>
      <c r="O495" s="61"/>
      <c r="P495" s="61"/>
      <c r="Q495" s="61"/>
      <c r="R495" s="61"/>
      <c r="S495" s="61"/>
      <c r="T495" s="61"/>
      <c r="U495" s="61"/>
      <c r="V495" s="61"/>
      <c r="W495" s="61"/>
      <c r="X495" s="61"/>
      <c r="Y495" s="61"/>
      <c r="Z495" s="61"/>
      <c r="AA495" s="61"/>
      <c r="AB495" s="61"/>
      <c r="AC495" s="61"/>
      <c r="AD495" s="61"/>
    </row>
    <row r="496" spans="1:30" s="62" customFormat="1" ht="15.5" outlineLevel="1">
      <c r="A496" s="97" t="s">
        <v>331</v>
      </c>
      <c r="B496" s="8"/>
      <c r="C496" s="290"/>
      <c r="D496" s="4"/>
      <c r="E496" s="4"/>
      <c r="F496" s="4"/>
      <c r="G496" s="61"/>
      <c r="H496" s="61"/>
      <c r="I496" s="61"/>
      <c r="J496" s="61"/>
      <c r="K496" s="61"/>
      <c r="L496" s="61"/>
      <c r="M496" s="61"/>
      <c r="N496" s="61"/>
      <c r="O496" s="61"/>
      <c r="P496" s="61"/>
      <c r="Q496" s="61"/>
      <c r="R496" s="61"/>
      <c r="S496" s="61"/>
      <c r="T496" s="61"/>
      <c r="U496" s="61"/>
      <c r="V496" s="61"/>
      <c r="W496" s="61"/>
      <c r="X496" s="61"/>
      <c r="Y496" s="61"/>
      <c r="Z496" s="61"/>
      <c r="AA496" s="61"/>
      <c r="AB496" s="61"/>
      <c r="AC496" s="61"/>
      <c r="AD496" s="61"/>
    </row>
    <row r="497" spans="1:30" s="62" customFormat="1" outlineLevel="1">
      <c r="A497" s="13" t="s">
        <v>560</v>
      </c>
      <c r="B497" s="60"/>
      <c r="C497" s="42"/>
      <c r="D497" s="61"/>
      <c r="E497" s="61"/>
      <c r="F497" s="61"/>
      <c r="G497" s="61"/>
      <c r="H497" s="61"/>
      <c r="I497" s="61"/>
      <c r="J497" s="61"/>
      <c r="K497" s="61"/>
      <c r="L497" s="61"/>
      <c r="M497" s="61"/>
      <c r="N497" s="61"/>
      <c r="O497" s="61"/>
      <c r="P497" s="61"/>
      <c r="Q497" s="61"/>
      <c r="R497" s="61"/>
      <c r="S497" s="61"/>
      <c r="T497" s="61"/>
      <c r="U497" s="61"/>
      <c r="V497" s="61"/>
      <c r="W497" s="61"/>
      <c r="X497" s="61"/>
      <c r="Y497" s="61"/>
      <c r="Z497" s="61"/>
      <c r="AA497" s="61"/>
      <c r="AB497" s="61"/>
      <c r="AC497" s="61"/>
      <c r="AD497" s="61"/>
    </row>
    <row r="498" spans="1:30" s="62" customFormat="1" outlineLevel="1">
      <c r="A498" s="214" t="s">
        <v>318</v>
      </c>
      <c r="B498" s="214" t="s">
        <v>126</v>
      </c>
      <c r="C498" s="42"/>
      <c r="D498" s="219">
        <v>80</v>
      </c>
      <c r="E498" s="219">
        <f t="shared" ref="E498:AD498" si="312">D498</f>
        <v>80</v>
      </c>
      <c r="F498" s="219">
        <f t="shared" si="312"/>
        <v>80</v>
      </c>
      <c r="G498" s="219">
        <f t="shared" si="312"/>
        <v>80</v>
      </c>
      <c r="H498" s="219">
        <f t="shared" si="312"/>
        <v>80</v>
      </c>
      <c r="I498" s="219">
        <f t="shared" si="312"/>
        <v>80</v>
      </c>
      <c r="J498" s="219">
        <f t="shared" si="312"/>
        <v>80</v>
      </c>
      <c r="K498" s="219">
        <f t="shared" si="312"/>
        <v>80</v>
      </c>
      <c r="L498" s="219">
        <f t="shared" si="312"/>
        <v>80</v>
      </c>
      <c r="M498" s="219">
        <f t="shared" si="312"/>
        <v>80</v>
      </c>
      <c r="N498" s="219">
        <f t="shared" si="312"/>
        <v>80</v>
      </c>
      <c r="O498" s="219">
        <f t="shared" si="312"/>
        <v>80</v>
      </c>
      <c r="P498" s="219">
        <f t="shared" si="312"/>
        <v>80</v>
      </c>
      <c r="Q498" s="219">
        <f t="shared" si="312"/>
        <v>80</v>
      </c>
      <c r="R498" s="219">
        <f t="shared" si="312"/>
        <v>80</v>
      </c>
      <c r="S498" s="219">
        <f t="shared" si="312"/>
        <v>80</v>
      </c>
      <c r="T498" s="219">
        <f t="shared" si="312"/>
        <v>80</v>
      </c>
      <c r="U498" s="219">
        <f t="shared" si="312"/>
        <v>80</v>
      </c>
      <c r="V498" s="219">
        <f t="shared" si="312"/>
        <v>80</v>
      </c>
      <c r="W498" s="219">
        <f t="shared" si="312"/>
        <v>80</v>
      </c>
      <c r="X498" s="219">
        <f t="shared" si="312"/>
        <v>80</v>
      </c>
      <c r="Y498" s="219">
        <f t="shared" si="312"/>
        <v>80</v>
      </c>
      <c r="Z498" s="219">
        <f t="shared" si="312"/>
        <v>80</v>
      </c>
      <c r="AA498" s="219">
        <f t="shared" si="312"/>
        <v>80</v>
      </c>
      <c r="AB498" s="219">
        <f t="shared" si="312"/>
        <v>80</v>
      </c>
      <c r="AC498" s="219">
        <f t="shared" si="312"/>
        <v>80</v>
      </c>
      <c r="AD498" s="219">
        <f t="shared" si="312"/>
        <v>80</v>
      </c>
    </row>
    <row r="499" spans="1:30" s="62" customFormat="1" outlineLevel="1">
      <c r="A499" s="214" t="s">
        <v>319</v>
      </c>
      <c r="B499" s="214" t="s">
        <v>126</v>
      </c>
      <c r="C499" s="42"/>
      <c r="D499" s="219">
        <v>40</v>
      </c>
      <c r="E499" s="219">
        <f t="shared" ref="E499:AD499" si="313">D499</f>
        <v>40</v>
      </c>
      <c r="F499" s="219">
        <f t="shared" si="313"/>
        <v>40</v>
      </c>
      <c r="G499" s="219">
        <f t="shared" si="313"/>
        <v>40</v>
      </c>
      <c r="H499" s="219">
        <f t="shared" si="313"/>
        <v>40</v>
      </c>
      <c r="I499" s="219">
        <f t="shared" si="313"/>
        <v>40</v>
      </c>
      <c r="J499" s="219">
        <f t="shared" si="313"/>
        <v>40</v>
      </c>
      <c r="K499" s="219">
        <f t="shared" si="313"/>
        <v>40</v>
      </c>
      <c r="L499" s="219">
        <f t="shared" si="313"/>
        <v>40</v>
      </c>
      <c r="M499" s="219">
        <f t="shared" si="313"/>
        <v>40</v>
      </c>
      <c r="N499" s="219">
        <f t="shared" si="313"/>
        <v>40</v>
      </c>
      <c r="O499" s="219">
        <f t="shared" si="313"/>
        <v>40</v>
      </c>
      <c r="P499" s="219">
        <f t="shared" si="313"/>
        <v>40</v>
      </c>
      <c r="Q499" s="219">
        <f t="shared" si="313"/>
        <v>40</v>
      </c>
      <c r="R499" s="219">
        <f t="shared" si="313"/>
        <v>40</v>
      </c>
      <c r="S499" s="219">
        <f t="shared" si="313"/>
        <v>40</v>
      </c>
      <c r="T499" s="219">
        <f t="shared" si="313"/>
        <v>40</v>
      </c>
      <c r="U499" s="219">
        <f t="shared" si="313"/>
        <v>40</v>
      </c>
      <c r="V499" s="219">
        <f t="shared" si="313"/>
        <v>40</v>
      </c>
      <c r="W499" s="219">
        <f t="shared" si="313"/>
        <v>40</v>
      </c>
      <c r="X499" s="219">
        <f t="shared" si="313"/>
        <v>40</v>
      </c>
      <c r="Y499" s="219">
        <f t="shared" si="313"/>
        <v>40</v>
      </c>
      <c r="Z499" s="219">
        <f t="shared" si="313"/>
        <v>40</v>
      </c>
      <c r="AA499" s="219">
        <f t="shared" si="313"/>
        <v>40</v>
      </c>
      <c r="AB499" s="219">
        <f t="shared" si="313"/>
        <v>40</v>
      </c>
      <c r="AC499" s="219">
        <f t="shared" si="313"/>
        <v>40</v>
      </c>
      <c r="AD499" s="219">
        <f t="shared" si="313"/>
        <v>40</v>
      </c>
    </row>
    <row r="500" spans="1:30" s="62" customFormat="1" outlineLevel="1">
      <c r="A500" s="214" t="s">
        <v>320</v>
      </c>
      <c r="B500" s="214" t="s">
        <v>126</v>
      </c>
      <c r="C500" s="42"/>
      <c r="D500" s="219">
        <v>9</v>
      </c>
      <c r="E500" s="219">
        <f t="shared" ref="E500:AD500" si="314">D500</f>
        <v>9</v>
      </c>
      <c r="F500" s="219">
        <f t="shared" si="314"/>
        <v>9</v>
      </c>
      <c r="G500" s="219">
        <f t="shared" si="314"/>
        <v>9</v>
      </c>
      <c r="H500" s="219">
        <f t="shared" si="314"/>
        <v>9</v>
      </c>
      <c r="I500" s="219">
        <f t="shared" si="314"/>
        <v>9</v>
      </c>
      <c r="J500" s="219">
        <f t="shared" si="314"/>
        <v>9</v>
      </c>
      <c r="K500" s="219">
        <f t="shared" si="314"/>
        <v>9</v>
      </c>
      <c r="L500" s="219">
        <f t="shared" si="314"/>
        <v>9</v>
      </c>
      <c r="M500" s="219">
        <f t="shared" si="314"/>
        <v>9</v>
      </c>
      <c r="N500" s="219">
        <f t="shared" si="314"/>
        <v>9</v>
      </c>
      <c r="O500" s="219">
        <f t="shared" si="314"/>
        <v>9</v>
      </c>
      <c r="P500" s="219">
        <f t="shared" si="314"/>
        <v>9</v>
      </c>
      <c r="Q500" s="219">
        <f t="shared" si="314"/>
        <v>9</v>
      </c>
      <c r="R500" s="219">
        <f t="shared" si="314"/>
        <v>9</v>
      </c>
      <c r="S500" s="219">
        <f t="shared" si="314"/>
        <v>9</v>
      </c>
      <c r="T500" s="219">
        <f t="shared" si="314"/>
        <v>9</v>
      </c>
      <c r="U500" s="219">
        <f t="shared" si="314"/>
        <v>9</v>
      </c>
      <c r="V500" s="219">
        <f t="shared" si="314"/>
        <v>9</v>
      </c>
      <c r="W500" s="219">
        <f t="shared" si="314"/>
        <v>9</v>
      </c>
      <c r="X500" s="219">
        <f t="shared" si="314"/>
        <v>9</v>
      </c>
      <c r="Y500" s="219">
        <f t="shared" si="314"/>
        <v>9</v>
      </c>
      <c r="Z500" s="219">
        <f t="shared" si="314"/>
        <v>9</v>
      </c>
      <c r="AA500" s="219">
        <f t="shared" si="314"/>
        <v>9</v>
      </c>
      <c r="AB500" s="219">
        <f t="shared" si="314"/>
        <v>9</v>
      </c>
      <c r="AC500" s="219">
        <f t="shared" si="314"/>
        <v>9</v>
      </c>
      <c r="AD500" s="219">
        <f t="shared" si="314"/>
        <v>9</v>
      </c>
    </row>
    <row r="501" spans="1:30" s="62" customFormat="1" outlineLevel="1">
      <c r="A501" s="45" t="s">
        <v>321</v>
      </c>
      <c r="B501" s="13" t="s">
        <v>126</v>
      </c>
      <c r="C501" s="44"/>
      <c r="D501" s="42">
        <f t="shared" ref="D501:AD501" si="315">SUM(D498:D500)</f>
        <v>129</v>
      </c>
      <c r="E501" s="42">
        <f t="shared" si="315"/>
        <v>129</v>
      </c>
      <c r="F501" s="42">
        <f t="shared" si="315"/>
        <v>129</v>
      </c>
      <c r="G501" s="42">
        <f t="shared" si="315"/>
        <v>129</v>
      </c>
      <c r="H501" s="42">
        <f t="shared" si="315"/>
        <v>129</v>
      </c>
      <c r="I501" s="42">
        <f t="shared" si="315"/>
        <v>129</v>
      </c>
      <c r="J501" s="42">
        <f t="shared" si="315"/>
        <v>129</v>
      </c>
      <c r="K501" s="42">
        <f t="shared" si="315"/>
        <v>129</v>
      </c>
      <c r="L501" s="42">
        <f t="shared" si="315"/>
        <v>129</v>
      </c>
      <c r="M501" s="42">
        <f t="shared" si="315"/>
        <v>129</v>
      </c>
      <c r="N501" s="42">
        <f t="shared" si="315"/>
        <v>129</v>
      </c>
      <c r="O501" s="42">
        <f t="shared" si="315"/>
        <v>129</v>
      </c>
      <c r="P501" s="42">
        <f t="shared" si="315"/>
        <v>129</v>
      </c>
      <c r="Q501" s="42">
        <f t="shared" si="315"/>
        <v>129</v>
      </c>
      <c r="R501" s="42">
        <f t="shared" si="315"/>
        <v>129</v>
      </c>
      <c r="S501" s="42">
        <f t="shared" si="315"/>
        <v>129</v>
      </c>
      <c r="T501" s="42">
        <f t="shared" si="315"/>
        <v>129</v>
      </c>
      <c r="U501" s="42">
        <f t="shared" si="315"/>
        <v>129</v>
      </c>
      <c r="V501" s="42">
        <f t="shared" si="315"/>
        <v>129</v>
      </c>
      <c r="W501" s="42">
        <f t="shared" si="315"/>
        <v>129</v>
      </c>
      <c r="X501" s="42">
        <f t="shared" si="315"/>
        <v>129</v>
      </c>
      <c r="Y501" s="42">
        <f t="shared" si="315"/>
        <v>129</v>
      </c>
      <c r="Z501" s="42">
        <f t="shared" si="315"/>
        <v>129</v>
      </c>
      <c r="AA501" s="42">
        <f t="shared" si="315"/>
        <v>129</v>
      </c>
      <c r="AB501" s="42">
        <f t="shared" si="315"/>
        <v>129</v>
      </c>
      <c r="AC501" s="42">
        <f t="shared" si="315"/>
        <v>129</v>
      </c>
      <c r="AD501" s="42">
        <f t="shared" si="315"/>
        <v>129</v>
      </c>
    </row>
    <row r="502" spans="1:30" s="62" customFormat="1" outlineLevel="1">
      <c r="A502" s="214" t="s">
        <v>454</v>
      </c>
      <c r="B502" s="214" t="s">
        <v>332</v>
      </c>
      <c r="C502" s="42"/>
      <c r="D502" s="219">
        <v>250</v>
      </c>
      <c r="E502" s="219">
        <f t="shared" ref="E502:AD502" si="316">D502</f>
        <v>250</v>
      </c>
      <c r="F502" s="219">
        <f t="shared" si="316"/>
        <v>250</v>
      </c>
      <c r="G502" s="219">
        <f t="shared" si="316"/>
        <v>250</v>
      </c>
      <c r="H502" s="219">
        <f t="shared" si="316"/>
        <v>250</v>
      </c>
      <c r="I502" s="219">
        <f t="shared" si="316"/>
        <v>250</v>
      </c>
      <c r="J502" s="219">
        <f t="shared" si="316"/>
        <v>250</v>
      </c>
      <c r="K502" s="219">
        <f t="shared" si="316"/>
        <v>250</v>
      </c>
      <c r="L502" s="219">
        <f t="shared" si="316"/>
        <v>250</v>
      </c>
      <c r="M502" s="219">
        <f t="shared" si="316"/>
        <v>250</v>
      </c>
      <c r="N502" s="219">
        <f t="shared" si="316"/>
        <v>250</v>
      </c>
      <c r="O502" s="219">
        <f t="shared" si="316"/>
        <v>250</v>
      </c>
      <c r="P502" s="219">
        <f t="shared" si="316"/>
        <v>250</v>
      </c>
      <c r="Q502" s="219">
        <f t="shared" si="316"/>
        <v>250</v>
      </c>
      <c r="R502" s="219">
        <f t="shared" si="316"/>
        <v>250</v>
      </c>
      <c r="S502" s="219">
        <f t="shared" si="316"/>
        <v>250</v>
      </c>
      <c r="T502" s="219">
        <f t="shared" si="316"/>
        <v>250</v>
      </c>
      <c r="U502" s="219">
        <f t="shared" si="316"/>
        <v>250</v>
      </c>
      <c r="V502" s="219">
        <f t="shared" si="316"/>
        <v>250</v>
      </c>
      <c r="W502" s="219">
        <f t="shared" si="316"/>
        <v>250</v>
      </c>
      <c r="X502" s="219">
        <f t="shared" si="316"/>
        <v>250</v>
      </c>
      <c r="Y502" s="219">
        <f t="shared" si="316"/>
        <v>250</v>
      </c>
      <c r="Z502" s="219">
        <f t="shared" si="316"/>
        <v>250</v>
      </c>
      <c r="AA502" s="219">
        <f t="shared" si="316"/>
        <v>250</v>
      </c>
      <c r="AB502" s="219">
        <f t="shared" si="316"/>
        <v>250</v>
      </c>
      <c r="AC502" s="219">
        <f t="shared" si="316"/>
        <v>250</v>
      </c>
      <c r="AD502" s="219">
        <f t="shared" si="316"/>
        <v>250</v>
      </c>
    </row>
    <row r="503" spans="1:30" s="62" customFormat="1" outlineLevel="1">
      <c r="A503" s="45" t="str">
        <f>A501</f>
        <v>labour - processing</v>
      </c>
      <c r="B503" s="13" t="s">
        <v>284</v>
      </c>
      <c r="C503" s="42">
        <f>SUM(D503:AD503)</f>
        <v>870.75</v>
      </c>
      <c r="D503" s="42">
        <f t="shared" ref="D503:AD503" si="317">D501*D502/1000</f>
        <v>32.25</v>
      </c>
      <c r="E503" s="42">
        <f t="shared" si="317"/>
        <v>32.25</v>
      </c>
      <c r="F503" s="42">
        <f t="shared" si="317"/>
        <v>32.25</v>
      </c>
      <c r="G503" s="42">
        <f t="shared" si="317"/>
        <v>32.25</v>
      </c>
      <c r="H503" s="42">
        <f t="shared" si="317"/>
        <v>32.25</v>
      </c>
      <c r="I503" s="42">
        <f t="shared" si="317"/>
        <v>32.25</v>
      </c>
      <c r="J503" s="42">
        <f t="shared" si="317"/>
        <v>32.25</v>
      </c>
      <c r="K503" s="42">
        <f t="shared" si="317"/>
        <v>32.25</v>
      </c>
      <c r="L503" s="42">
        <f t="shared" si="317"/>
        <v>32.25</v>
      </c>
      <c r="M503" s="42">
        <f t="shared" si="317"/>
        <v>32.25</v>
      </c>
      <c r="N503" s="42">
        <f t="shared" si="317"/>
        <v>32.25</v>
      </c>
      <c r="O503" s="42">
        <f t="shared" si="317"/>
        <v>32.25</v>
      </c>
      <c r="P503" s="42">
        <f t="shared" si="317"/>
        <v>32.25</v>
      </c>
      <c r="Q503" s="42">
        <f t="shared" si="317"/>
        <v>32.25</v>
      </c>
      <c r="R503" s="42">
        <f t="shared" si="317"/>
        <v>32.25</v>
      </c>
      <c r="S503" s="42">
        <f t="shared" si="317"/>
        <v>32.25</v>
      </c>
      <c r="T503" s="42">
        <f t="shared" si="317"/>
        <v>32.25</v>
      </c>
      <c r="U503" s="42">
        <f t="shared" si="317"/>
        <v>32.25</v>
      </c>
      <c r="V503" s="42">
        <f t="shared" si="317"/>
        <v>32.25</v>
      </c>
      <c r="W503" s="42">
        <f t="shared" si="317"/>
        <v>32.25</v>
      </c>
      <c r="X503" s="42">
        <f t="shared" si="317"/>
        <v>32.25</v>
      </c>
      <c r="Y503" s="42">
        <f t="shared" si="317"/>
        <v>32.25</v>
      </c>
      <c r="Z503" s="42">
        <f t="shared" si="317"/>
        <v>32.25</v>
      </c>
      <c r="AA503" s="42">
        <f t="shared" si="317"/>
        <v>32.25</v>
      </c>
      <c r="AB503" s="42">
        <f t="shared" si="317"/>
        <v>32.25</v>
      </c>
      <c r="AC503" s="42">
        <f t="shared" si="317"/>
        <v>32.25</v>
      </c>
      <c r="AD503" s="42">
        <f t="shared" si="317"/>
        <v>32.25</v>
      </c>
    </row>
    <row r="504" spans="1:30" s="62" customFormat="1" outlineLevel="1">
      <c r="A504" s="45"/>
      <c r="B504" s="13"/>
      <c r="C504" s="42"/>
      <c r="D504" s="42"/>
      <c r="E504" s="42"/>
      <c r="F504" s="42"/>
      <c r="G504" s="42"/>
      <c r="H504" s="42"/>
      <c r="I504" s="42"/>
      <c r="J504" s="42"/>
      <c r="K504" s="42"/>
      <c r="L504" s="42"/>
      <c r="M504" s="42"/>
      <c r="N504" s="42"/>
      <c r="O504" s="42"/>
      <c r="P504" s="42"/>
      <c r="Q504" s="42"/>
      <c r="R504" s="42"/>
      <c r="S504" s="42"/>
      <c r="T504" s="42"/>
      <c r="U504" s="42"/>
      <c r="V504" s="42"/>
      <c r="W504" s="42"/>
      <c r="X504" s="42"/>
      <c r="Y504" s="42"/>
      <c r="Z504" s="42"/>
      <c r="AA504" s="42"/>
      <c r="AB504" s="42"/>
      <c r="AC504" s="42"/>
      <c r="AD504" s="42"/>
    </row>
    <row r="505" spans="1:30" s="62" customFormat="1" outlineLevel="1">
      <c r="A505" s="214" t="s">
        <v>333</v>
      </c>
      <c r="B505" s="214" t="s">
        <v>285</v>
      </c>
      <c r="C505" s="42"/>
      <c r="D505" s="219">
        <v>15</v>
      </c>
      <c r="E505" s="219">
        <f t="shared" ref="E505:AD505" si="318">D505</f>
        <v>15</v>
      </c>
      <c r="F505" s="219">
        <f t="shared" si="318"/>
        <v>15</v>
      </c>
      <c r="G505" s="219">
        <f t="shared" si="318"/>
        <v>15</v>
      </c>
      <c r="H505" s="219">
        <f t="shared" si="318"/>
        <v>15</v>
      </c>
      <c r="I505" s="219">
        <f t="shared" si="318"/>
        <v>15</v>
      </c>
      <c r="J505" s="219">
        <f t="shared" si="318"/>
        <v>15</v>
      </c>
      <c r="K505" s="219">
        <f t="shared" si="318"/>
        <v>15</v>
      </c>
      <c r="L505" s="219">
        <f t="shared" si="318"/>
        <v>15</v>
      </c>
      <c r="M505" s="219">
        <f t="shared" si="318"/>
        <v>15</v>
      </c>
      <c r="N505" s="219">
        <f t="shared" si="318"/>
        <v>15</v>
      </c>
      <c r="O505" s="219">
        <f t="shared" si="318"/>
        <v>15</v>
      </c>
      <c r="P505" s="219">
        <f t="shared" si="318"/>
        <v>15</v>
      </c>
      <c r="Q505" s="219">
        <f t="shared" si="318"/>
        <v>15</v>
      </c>
      <c r="R505" s="219">
        <f t="shared" si="318"/>
        <v>15</v>
      </c>
      <c r="S505" s="219">
        <f t="shared" si="318"/>
        <v>15</v>
      </c>
      <c r="T505" s="219">
        <f t="shared" si="318"/>
        <v>15</v>
      </c>
      <c r="U505" s="219">
        <f t="shared" si="318"/>
        <v>15</v>
      </c>
      <c r="V505" s="219">
        <f t="shared" si="318"/>
        <v>15</v>
      </c>
      <c r="W505" s="219">
        <f t="shared" si="318"/>
        <v>15</v>
      </c>
      <c r="X505" s="219">
        <f t="shared" si="318"/>
        <v>15</v>
      </c>
      <c r="Y505" s="219">
        <f t="shared" si="318"/>
        <v>15</v>
      </c>
      <c r="Z505" s="219">
        <f t="shared" si="318"/>
        <v>15</v>
      </c>
      <c r="AA505" s="219">
        <f t="shared" si="318"/>
        <v>15</v>
      </c>
      <c r="AB505" s="219">
        <f t="shared" si="318"/>
        <v>15</v>
      </c>
      <c r="AC505" s="219">
        <f t="shared" si="318"/>
        <v>15</v>
      </c>
      <c r="AD505" s="219">
        <f t="shared" si="318"/>
        <v>15</v>
      </c>
    </row>
    <row r="506" spans="1:30" s="62" customFormat="1" outlineLevel="1">
      <c r="A506" s="45"/>
      <c r="B506" s="13"/>
      <c r="C506" s="42"/>
      <c r="D506" s="42"/>
      <c r="E506" s="42"/>
      <c r="F506" s="42"/>
      <c r="G506" s="42"/>
      <c r="H506" s="42"/>
      <c r="I506" s="42"/>
      <c r="J506" s="42"/>
      <c r="K506" s="42"/>
      <c r="L506" s="42"/>
      <c r="M506" s="42"/>
      <c r="N506" s="42"/>
      <c r="O506" s="42"/>
      <c r="P506" s="42"/>
      <c r="Q506" s="42"/>
      <c r="R506" s="42"/>
      <c r="S506" s="42"/>
      <c r="T506" s="42"/>
      <c r="U506" s="42"/>
      <c r="V506" s="42"/>
      <c r="W506" s="42"/>
      <c r="X506" s="42"/>
      <c r="Y506" s="42"/>
      <c r="Z506" s="42"/>
      <c r="AA506" s="42"/>
      <c r="AB506" s="42"/>
      <c r="AC506" s="42"/>
      <c r="AD506" s="42"/>
    </row>
    <row r="507" spans="1:30" s="62" customFormat="1" outlineLevel="1">
      <c r="A507" s="45" t="s">
        <v>331</v>
      </c>
      <c r="B507" s="13" t="s">
        <v>284</v>
      </c>
      <c r="C507" s="42">
        <f>SUM(D507:AD507)</f>
        <v>708.75</v>
      </c>
      <c r="D507" s="70">
        <f t="shared" ref="D507:AD507" si="319">IF(D465=0,0,D503+D505)</f>
        <v>0</v>
      </c>
      <c r="E507" s="70">
        <f t="shared" si="319"/>
        <v>0</v>
      </c>
      <c r="F507" s="70">
        <f t="shared" si="319"/>
        <v>47.25</v>
      </c>
      <c r="G507" s="70">
        <f t="shared" si="319"/>
        <v>47.25</v>
      </c>
      <c r="H507" s="70">
        <f t="shared" si="319"/>
        <v>47.25</v>
      </c>
      <c r="I507" s="70">
        <f t="shared" si="319"/>
        <v>47.25</v>
      </c>
      <c r="J507" s="70">
        <f t="shared" si="319"/>
        <v>47.25</v>
      </c>
      <c r="K507" s="70">
        <f t="shared" si="319"/>
        <v>47.25</v>
      </c>
      <c r="L507" s="70">
        <f t="shared" si="319"/>
        <v>47.25</v>
      </c>
      <c r="M507" s="70">
        <f t="shared" si="319"/>
        <v>47.25</v>
      </c>
      <c r="N507" s="70">
        <f t="shared" si="319"/>
        <v>47.25</v>
      </c>
      <c r="O507" s="70">
        <f t="shared" si="319"/>
        <v>47.25</v>
      </c>
      <c r="P507" s="70">
        <f t="shared" si="319"/>
        <v>47.25</v>
      </c>
      <c r="Q507" s="70">
        <f t="shared" si="319"/>
        <v>47.25</v>
      </c>
      <c r="R507" s="70">
        <f t="shared" si="319"/>
        <v>47.25</v>
      </c>
      <c r="S507" s="70">
        <f t="shared" si="319"/>
        <v>47.25</v>
      </c>
      <c r="T507" s="70">
        <f t="shared" si="319"/>
        <v>47.25</v>
      </c>
      <c r="U507" s="70">
        <f t="shared" si="319"/>
        <v>0</v>
      </c>
      <c r="V507" s="70">
        <f t="shared" si="319"/>
        <v>0</v>
      </c>
      <c r="W507" s="70">
        <f t="shared" si="319"/>
        <v>0</v>
      </c>
      <c r="X507" s="70">
        <f t="shared" si="319"/>
        <v>0</v>
      </c>
      <c r="Y507" s="70">
        <f t="shared" si="319"/>
        <v>0</v>
      </c>
      <c r="Z507" s="70">
        <f t="shared" si="319"/>
        <v>0</v>
      </c>
      <c r="AA507" s="70">
        <f t="shared" si="319"/>
        <v>0</v>
      </c>
      <c r="AB507" s="70">
        <f t="shared" si="319"/>
        <v>0</v>
      </c>
      <c r="AC507" s="70">
        <f t="shared" si="319"/>
        <v>0</v>
      </c>
      <c r="AD507" s="70">
        <f t="shared" si="319"/>
        <v>0</v>
      </c>
    </row>
    <row r="508" spans="1:30" s="45" customFormat="1" ht="15.65" customHeight="1" outlineLevel="1">
      <c r="A508" s="41"/>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c r="AA508" s="44"/>
      <c r="AB508" s="44"/>
      <c r="AC508" s="44"/>
      <c r="AD508" s="44"/>
    </row>
    <row r="509" spans="1:30" s="286" customFormat="1" ht="28.75" customHeight="1" outlineLevel="1">
      <c r="A509" s="127" t="s">
        <v>32</v>
      </c>
      <c r="B509" s="117" t="s">
        <v>284</v>
      </c>
      <c r="C509" s="232">
        <f>SUM(D509:AD509)</f>
        <v>2751.3300000000004</v>
      </c>
      <c r="D509" s="287">
        <f t="shared" ref="D509:AD509" si="320">D494+D507</f>
        <v>0</v>
      </c>
      <c r="E509" s="287">
        <f t="shared" si="320"/>
        <v>0</v>
      </c>
      <c r="F509" s="287">
        <f t="shared" si="320"/>
        <v>135.13153846153847</v>
      </c>
      <c r="G509" s="287">
        <f t="shared" si="320"/>
        <v>185.73000000000002</v>
      </c>
      <c r="H509" s="287">
        <f t="shared" si="320"/>
        <v>185.73000000000002</v>
      </c>
      <c r="I509" s="287">
        <f t="shared" si="320"/>
        <v>185.73000000000002</v>
      </c>
      <c r="J509" s="287">
        <f t="shared" si="320"/>
        <v>191.7219230769231</v>
      </c>
      <c r="K509" s="287">
        <f t="shared" si="320"/>
        <v>179.73807692307693</v>
      </c>
      <c r="L509" s="287">
        <f t="shared" si="320"/>
        <v>185.73000000000002</v>
      </c>
      <c r="M509" s="287">
        <f t="shared" si="320"/>
        <v>185.73000000000002</v>
      </c>
      <c r="N509" s="287">
        <f t="shared" si="320"/>
        <v>185.73000000000002</v>
      </c>
      <c r="O509" s="287">
        <f t="shared" si="320"/>
        <v>185.73000000000002</v>
      </c>
      <c r="P509" s="287">
        <f t="shared" si="320"/>
        <v>185.73000000000002</v>
      </c>
      <c r="Q509" s="287">
        <f t="shared" si="320"/>
        <v>185.73000000000002</v>
      </c>
      <c r="R509" s="287">
        <f t="shared" si="320"/>
        <v>185.73000000000002</v>
      </c>
      <c r="S509" s="287">
        <f t="shared" si="320"/>
        <v>185.73000000000002</v>
      </c>
      <c r="T509" s="287">
        <f t="shared" si="320"/>
        <v>201.70846153846156</v>
      </c>
      <c r="U509" s="287">
        <f t="shared" si="320"/>
        <v>0</v>
      </c>
      <c r="V509" s="287">
        <f t="shared" si="320"/>
        <v>0</v>
      </c>
      <c r="W509" s="287">
        <f t="shared" si="320"/>
        <v>0</v>
      </c>
      <c r="X509" s="287">
        <f t="shared" si="320"/>
        <v>0</v>
      </c>
      <c r="Y509" s="287">
        <f t="shared" si="320"/>
        <v>0</v>
      </c>
      <c r="Z509" s="287">
        <f t="shared" si="320"/>
        <v>0</v>
      </c>
      <c r="AA509" s="287">
        <f t="shared" si="320"/>
        <v>0</v>
      </c>
      <c r="AB509" s="287">
        <f t="shared" si="320"/>
        <v>0</v>
      </c>
      <c r="AC509" s="287">
        <f t="shared" si="320"/>
        <v>0</v>
      </c>
      <c r="AD509" s="287">
        <f t="shared" si="320"/>
        <v>0</v>
      </c>
    </row>
    <row r="510" spans="1:30" s="45" customFormat="1" outlineLevel="1">
      <c r="A510" s="75" t="str">
        <f>A509&amp;"/tonne milled"</f>
        <v>processing opex/tonne milled</v>
      </c>
      <c r="B510" s="13" t="s">
        <v>303</v>
      </c>
      <c r="C510" s="57">
        <f>IF(C$154=0,0,C509/C$154)</f>
        <v>23.316355932203397</v>
      </c>
      <c r="D510" s="75">
        <f t="shared" ref="D510:AD510" si="321">IF(D$154=0,0,D509/D$154)</f>
        <v>0</v>
      </c>
      <c r="E510" s="75">
        <f t="shared" si="321"/>
        <v>0</v>
      </c>
      <c r="F510" s="75">
        <f t="shared" si="321"/>
        <v>26.616818181818186</v>
      </c>
      <c r="G510" s="75">
        <f t="shared" si="321"/>
        <v>23.216250000000002</v>
      </c>
      <c r="H510" s="75">
        <f t="shared" si="321"/>
        <v>23.216250000000002</v>
      </c>
      <c r="I510" s="75">
        <f t="shared" si="321"/>
        <v>23.216250000000002</v>
      </c>
      <c r="J510" s="75">
        <f t="shared" si="321"/>
        <v>22.971290322580646</v>
      </c>
      <c r="K510" s="75">
        <f t="shared" si="321"/>
        <v>23.483366834170859</v>
      </c>
      <c r="L510" s="75">
        <f t="shared" si="321"/>
        <v>23.216250000000002</v>
      </c>
      <c r="M510" s="75">
        <f t="shared" si="321"/>
        <v>23.216250000000002</v>
      </c>
      <c r="N510" s="75">
        <f t="shared" si="321"/>
        <v>23.216250000000002</v>
      </c>
      <c r="O510" s="75">
        <f t="shared" si="321"/>
        <v>23.216250000000002</v>
      </c>
      <c r="P510" s="75">
        <f t="shared" si="321"/>
        <v>23.216250000000002</v>
      </c>
      <c r="Q510" s="75">
        <f t="shared" si="321"/>
        <v>23.216250000000002</v>
      </c>
      <c r="R510" s="75">
        <f t="shared" si="321"/>
        <v>23.216250000000002</v>
      </c>
      <c r="S510" s="75">
        <f t="shared" si="321"/>
        <v>23.216250000000002</v>
      </c>
      <c r="T510" s="75">
        <f t="shared" si="321"/>
        <v>22.605258620689657</v>
      </c>
      <c r="U510" s="75">
        <f t="shared" si="321"/>
        <v>0</v>
      </c>
      <c r="V510" s="75">
        <f t="shared" si="321"/>
        <v>0</v>
      </c>
      <c r="W510" s="75">
        <f t="shared" si="321"/>
        <v>0</v>
      </c>
      <c r="X510" s="75">
        <f t="shared" si="321"/>
        <v>0</v>
      </c>
      <c r="Y510" s="75">
        <f t="shared" si="321"/>
        <v>0</v>
      </c>
      <c r="Z510" s="75">
        <f t="shared" si="321"/>
        <v>0</v>
      </c>
      <c r="AA510" s="75">
        <f t="shared" si="321"/>
        <v>0</v>
      </c>
      <c r="AB510" s="75">
        <f t="shared" si="321"/>
        <v>0</v>
      </c>
      <c r="AC510" s="75">
        <f t="shared" si="321"/>
        <v>0</v>
      </c>
      <c r="AD510" s="75">
        <f t="shared" si="321"/>
        <v>0</v>
      </c>
    </row>
    <row r="511" spans="1:30" s="45" customFormat="1" outlineLevel="1">
      <c r="B511" s="13"/>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row>
    <row r="512" spans="1:30" s="8" customFormat="1" ht="15.5" outlineLevel="1">
      <c r="A512" s="242" t="str">
        <f>'Expected NPV &amp; Common Data'!A$36</f>
        <v>Calendar Year --&gt;</v>
      </c>
      <c r="B512" s="243" t="str">
        <f>'Expected NPV &amp; Common Data'!B$36</f>
        <v>units</v>
      </c>
      <c r="C512" s="244" t="str">
        <f>'Expected NPV &amp; Common Data'!C$36</f>
        <v>Total</v>
      </c>
      <c r="D512" s="245">
        <f>'Expected NPV &amp; Common Data'!D$36</f>
        <v>2027</v>
      </c>
      <c r="E512" s="245">
        <f>'Expected NPV &amp; Common Data'!E$36</f>
        <v>2028</v>
      </c>
      <c r="F512" s="245">
        <f>'Expected NPV &amp; Common Data'!F$36</f>
        <v>2029</v>
      </c>
      <c r="G512" s="245">
        <f>'Expected NPV &amp; Common Data'!G$36</f>
        <v>2030</v>
      </c>
      <c r="H512" s="245">
        <f>'Expected NPV &amp; Common Data'!H$36</f>
        <v>2031</v>
      </c>
      <c r="I512" s="245">
        <f>'Expected NPV &amp; Common Data'!I$36</f>
        <v>2032</v>
      </c>
      <c r="J512" s="245">
        <f>'Expected NPV &amp; Common Data'!J$36</f>
        <v>2033</v>
      </c>
      <c r="K512" s="245">
        <f>'Expected NPV &amp; Common Data'!K$36</f>
        <v>2034</v>
      </c>
      <c r="L512" s="245">
        <f>'Expected NPV &amp; Common Data'!L$36</f>
        <v>2035</v>
      </c>
      <c r="M512" s="245">
        <f>'Expected NPV &amp; Common Data'!M$36</f>
        <v>2036</v>
      </c>
      <c r="N512" s="245">
        <f>'Expected NPV &amp; Common Data'!N$36</f>
        <v>2037</v>
      </c>
      <c r="O512" s="245">
        <f>'Expected NPV &amp; Common Data'!O$36</f>
        <v>2038</v>
      </c>
      <c r="P512" s="245">
        <f>'Expected NPV &amp; Common Data'!P$36</f>
        <v>2039</v>
      </c>
      <c r="Q512" s="245">
        <f>'Expected NPV &amp; Common Data'!Q$36</f>
        <v>2040</v>
      </c>
      <c r="R512" s="245">
        <f>'Expected NPV &amp; Common Data'!R$36</f>
        <v>2041</v>
      </c>
      <c r="S512" s="245">
        <f>'Expected NPV &amp; Common Data'!S$36</f>
        <v>2042</v>
      </c>
      <c r="T512" s="245">
        <f>'Expected NPV &amp; Common Data'!T$36</f>
        <v>2043</v>
      </c>
      <c r="U512" s="245">
        <f>'Expected NPV &amp; Common Data'!U$36</f>
        <v>2044</v>
      </c>
      <c r="V512" s="245">
        <f>'Expected NPV &amp; Common Data'!V$36</f>
        <v>2045</v>
      </c>
      <c r="W512" s="245">
        <f>'Expected NPV &amp; Common Data'!W$36</f>
        <v>2046</v>
      </c>
      <c r="X512" s="245">
        <f>'Expected NPV &amp; Common Data'!X$36</f>
        <v>2047</v>
      </c>
      <c r="Y512" s="245">
        <f>'Expected NPV &amp; Common Data'!Y$36</f>
        <v>2048</v>
      </c>
      <c r="Z512" s="245">
        <f>'Expected NPV &amp; Common Data'!Z$36</f>
        <v>2049</v>
      </c>
      <c r="AA512" s="245">
        <f>'Expected NPV &amp; Common Data'!AA$36</f>
        <v>2050</v>
      </c>
      <c r="AB512" s="245">
        <f>'Expected NPV &amp; Common Data'!AB$36</f>
        <v>2051</v>
      </c>
      <c r="AC512" s="245">
        <f>'Expected NPV &amp; Common Data'!AC$36</f>
        <v>2052</v>
      </c>
      <c r="AD512" s="245">
        <f>'Expected NPV &amp; Common Data'!AD$36</f>
        <v>2053</v>
      </c>
    </row>
    <row r="513" spans="1:30" ht="54" customHeight="1">
      <c r="A513" s="23" t="s">
        <v>31</v>
      </c>
      <c r="D513" s="15"/>
      <c r="E513" s="15"/>
      <c r="F513" s="15"/>
      <c r="G513" s="15"/>
      <c r="H513" s="15"/>
      <c r="I513" s="15"/>
      <c r="J513" s="15"/>
      <c r="K513" s="15"/>
      <c r="L513" s="15"/>
      <c r="M513" s="15"/>
      <c r="N513" s="15"/>
      <c r="O513" s="15"/>
      <c r="P513" s="15"/>
      <c r="Q513" s="15"/>
      <c r="R513" s="15"/>
      <c r="S513" s="15"/>
      <c r="T513" s="15"/>
      <c r="U513" s="15"/>
      <c r="V513" s="15"/>
      <c r="W513" s="15"/>
      <c r="X513" s="15"/>
      <c r="Y513" s="15"/>
      <c r="Z513" s="15"/>
      <c r="AA513" s="15"/>
      <c r="AB513" s="15"/>
      <c r="AC513" s="15"/>
      <c r="AD513" s="15"/>
    </row>
    <row r="514" spans="1:30" s="116" customFormat="1" ht="23.4" customHeight="1" outlineLevel="1">
      <c r="A514" s="146" t="s">
        <v>342</v>
      </c>
      <c r="B514" s="114"/>
      <c r="C514" s="40"/>
      <c r="D514" s="115"/>
      <c r="E514" s="115"/>
      <c r="F514" s="115"/>
      <c r="G514" s="115"/>
      <c r="H514" s="115"/>
      <c r="I514" s="115"/>
      <c r="J514" s="115"/>
      <c r="K514" s="115"/>
      <c r="L514" s="115"/>
      <c r="M514" s="115"/>
      <c r="N514" s="115"/>
      <c r="O514" s="115"/>
      <c r="P514" s="115"/>
      <c r="Q514" s="115"/>
      <c r="R514" s="115"/>
      <c r="S514" s="115"/>
      <c r="T514" s="115"/>
      <c r="U514" s="115"/>
      <c r="V514" s="115"/>
      <c r="W514" s="115"/>
      <c r="X514" s="115"/>
      <c r="Y514" s="115"/>
      <c r="Z514" s="115"/>
      <c r="AA514" s="115"/>
      <c r="AB514" s="115"/>
      <c r="AC514" s="115"/>
      <c r="AD514" s="115"/>
    </row>
    <row r="515" spans="1:30" outlineLevel="1">
      <c r="A515" s="13" t="s">
        <v>561</v>
      </c>
      <c r="D515" s="15"/>
      <c r="E515" s="15"/>
      <c r="F515" s="15"/>
      <c r="G515" s="15"/>
      <c r="H515" s="15"/>
      <c r="I515" s="15"/>
      <c r="J515" s="15"/>
      <c r="K515" s="15"/>
      <c r="L515" s="15"/>
      <c r="M515" s="15"/>
      <c r="N515" s="15"/>
      <c r="O515" s="15"/>
      <c r="P515" s="15"/>
      <c r="Q515" s="15"/>
      <c r="R515" s="15"/>
      <c r="S515" s="15"/>
      <c r="T515" s="15"/>
      <c r="U515" s="15"/>
      <c r="V515" s="15"/>
      <c r="W515" s="15"/>
      <c r="X515" s="15"/>
      <c r="Y515" s="15"/>
      <c r="Z515" s="15"/>
      <c r="AA515" s="15"/>
      <c r="AB515" s="15"/>
      <c r="AC515" s="15"/>
      <c r="AD515" s="15"/>
    </row>
    <row r="516" spans="1:30" s="62" customFormat="1" ht="14.5" outlineLevel="1">
      <c r="A516" s="291" t="s">
        <v>345</v>
      </c>
      <c r="B516" s="60"/>
      <c r="C516" s="42"/>
      <c r="D516" s="61"/>
      <c r="E516" s="61"/>
      <c r="F516" s="61"/>
      <c r="G516" s="61"/>
      <c r="H516" s="61"/>
      <c r="I516" s="61"/>
      <c r="J516" s="61"/>
      <c r="K516" s="61"/>
      <c r="L516" s="61"/>
      <c r="M516" s="61"/>
      <c r="N516" s="61"/>
      <c r="O516" s="61"/>
      <c r="P516" s="61"/>
      <c r="Q516" s="61"/>
      <c r="R516" s="61"/>
      <c r="S516" s="61"/>
      <c r="T516" s="61"/>
      <c r="U516" s="61"/>
      <c r="V516" s="61"/>
      <c r="W516" s="61"/>
      <c r="X516" s="61"/>
      <c r="Y516" s="61"/>
      <c r="Z516" s="61"/>
      <c r="AA516" s="61"/>
      <c r="AB516" s="61"/>
      <c r="AC516" s="61"/>
      <c r="AD516" s="61"/>
    </row>
    <row r="517" spans="1:30" outlineLevel="1">
      <c r="A517" s="214" t="s">
        <v>173</v>
      </c>
      <c r="B517" s="214" t="s">
        <v>126</v>
      </c>
      <c r="C517" s="42"/>
      <c r="D517" s="219">
        <v>33</v>
      </c>
      <c r="E517" s="219">
        <f t="shared" ref="E517:AD517" si="322">D517</f>
        <v>33</v>
      </c>
      <c r="F517" s="219">
        <f t="shared" si="322"/>
        <v>33</v>
      </c>
      <c r="G517" s="219">
        <f t="shared" si="322"/>
        <v>33</v>
      </c>
      <c r="H517" s="219">
        <f t="shared" si="322"/>
        <v>33</v>
      </c>
      <c r="I517" s="219">
        <f t="shared" si="322"/>
        <v>33</v>
      </c>
      <c r="J517" s="219">
        <f t="shared" si="322"/>
        <v>33</v>
      </c>
      <c r="K517" s="219">
        <f t="shared" si="322"/>
        <v>33</v>
      </c>
      <c r="L517" s="219">
        <f t="shared" si="322"/>
        <v>33</v>
      </c>
      <c r="M517" s="219">
        <f t="shared" si="322"/>
        <v>33</v>
      </c>
      <c r="N517" s="219">
        <f t="shared" si="322"/>
        <v>33</v>
      </c>
      <c r="O517" s="219">
        <f t="shared" si="322"/>
        <v>33</v>
      </c>
      <c r="P517" s="219">
        <f t="shared" si="322"/>
        <v>33</v>
      </c>
      <c r="Q517" s="219">
        <f t="shared" si="322"/>
        <v>33</v>
      </c>
      <c r="R517" s="219">
        <f t="shared" si="322"/>
        <v>33</v>
      </c>
      <c r="S517" s="219">
        <f t="shared" si="322"/>
        <v>33</v>
      </c>
      <c r="T517" s="219">
        <f t="shared" si="322"/>
        <v>33</v>
      </c>
      <c r="U517" s="219">
        <f t="shared" si="322"/>
        <v>33</v>
      </c>
      <c r="V517" s="219">
        <f t="shared" si="322"/>
        <v>33</v>
      </c>
      <c r="W517" s="219">
        <f t="shared" si="322"/>
        <v>33</v>
      </c>
      <c r="X517" s="219">
        <f t="shared" si="322"/>
        <v>33</v>
      </c>
      <c r="Y517" s="219">
        <f t="shared" si="322"/>
        <v>33</v>
      </c>
      <c r="Z517" s="219">
        <f t="shared" si="322"/>
        <v>33</v>
      </c>
      <c r="AA517" s="219">
        <f t="shared" si="322"/>
        <v>33</v>
      </c>
      <c r="AB517" s="219">
        <f t="shared" si="322"/>
        <v>33</v>
      </c>
      <c r="AC517" s="219">
        <f t="shared" si="322"/>
        <v>33</v>
      </c>
      <c r="AD517" s="219">
        <f t="shared" si="322"/>
        <v>33</v>
      </c>
    </row>
    <row r="518" spans="1:30" outlineLevel="1">
      <c r="A518" s="214" t="s">
        <v>175</v>
      </c>
      <c r="B518" s="214" t="s">
        <v>334</v>
      </c>
      <c r="C518" s="42"/>
      <c r="D518" s="219">
        <v>200</v>
      </c>
      <c r="E518" s="219">
        <f t="shared" ref="E518:AD518" si="323">D518</f>
        <v>200</v>
      </c>
      <c r="F518" s="219">
        <f t="shared" si="323"/>
        <v>200</v>
      </c>
      <c r="G518" s="219">
        <f t="shared" si="323"/>
        <v>200</v>
      </c>
      <c r="H518" s="219">
        <f t="shared" si="323"/>
        <v>200</v>
      </c>
      <c r="I518" s="219">
        <f t="shared" si="323"/>
        <v>200</v>
      </c>
      <c r="J518" s="219">
        <f t="shared" si="323"/>
        <v>200</v>
      </c>
      <c r="K518" s="219">
        <f t="shared" si="323"/>
        <v>200</v>
      </c>
      <c r="L518" s="219">
        <f t="shared" si="323"/>
        <v>200</v>
      </c>
      <c r="M518" s="219">
        <f t="shared" si="323"/>
        <v>200</v>
      </c>
      <c r="N518" s="219">
        <f t="shared" si="323"/>
        <v>200</v>
      </c>
      <c r="O518" s="219">
        <f t="shared" si="323"/>
        <v>200</v>
      </c>
      <c r="P518" s="219">
        <f t="shared" si="323"/>
        <v>200</v>
      </c>
      <c r="Q518" s="219">
        <f t="shared" si="323"/>
        <v>200</v>
      </c>
      <c r="R518" s="219">
        <f t="shared" si="323"/>
        <v>200</v>
      </c>
      <c r="S518" s="219">
        <f t="shared" si="323"/>
        <v>200</v>
      </c>
      <c r="T518" s="219">
        <f t="shared" si="323"/>
        <v>200</v>
      </c>
      <c r="U518" s="219">
        <f t="shared" si="323"/>
        <v>200</v>
      </c>
      <c r="V518" s="219">
        <f t="shared" si="323"/>
        <v>200</v>
      </c>
      <c r="W518" s="219">
        <f t="shared" si="323"/>
        <v>200</v>
      </c>
      <c r="X518" s="219">
        <f t="shared" si="323"/>
        <v>200</v>
      </c>
      <c r="Y518" s="219">
        <f t="shared" si="323"/>
        <v>200</v>
      </c>
      <c r="Z518" s="219">
        <f t="shared" si="323"/>
        <v>200</v>
      </c>
      <c r="AA518" s="219">
        <f t="shared" si="323"/>
        <v>200</v>
      </c>
      <c r="AB518" s="219">
        <f t="shared" si="323"/>
        <v>200</v>
      </c>
      <c r="AC518" s="219">
        <f t="shared" si="323"/>
        <v>200</v>
      </c>
      <c r="AD518" s="219">
        <f t="shared" si="323"/>
        <v>200</v>
      </c>
    </row>
    <row r="519" spans="1:30" s="45" customFormat="1" outlineLevel="1">
      <c r="A519" s="45" t="str">
        <f>A516</f>
        <v>Labour - Management &amp; Overheads</v>
      </c>
      <c r="B519" s="13" t="s">
        <v>284</v>
      </c>
      <c r="C519" s="42">
        <f>SUM(D519:AD519)</f>
        <v>178.1999999999999</v>
      </c>
      <c r="D519" s="56">
        <f t="shared" ref="D519:AD519" si="324">D517*D518/1000</f>
        <v>6.6</v>
      </c>
      <c r="E519" s="56">
        <f t="shared" si="324"/>
        <v>6.6</v>
      </c>
      <c r="F519" s="56">
        <f t="shared" si="324"/>
        <v>6.6</v>
      </c>
      <c r="G519" s="56">
        <f t="shared" si="324"/>
        <v>6.6</v>
      </c>
      <c r="H519" s="56">
        <f t="shared" si="324"/>
        <v>6.6</v>
      </c>
      <c r="I519" s="56">
        <f t="shared" si="324"/>
        <v>6.6</v>
      </c>
      <c r="J519" s="56">
        <f t="shared" si="324"/>
        <v>6.6</v>
      </c>
      <c r="K519" s="56">
        <f t="shared" si="324"/>
        <v>6.6</v>
      </c>
      <c r="L519" s="56">
        <f t="shared" si="324"/>
        <v>6.6</v>
      </c>
      <c r="M519" s="56">
        <f t="shared" si="324"/>
        <v>6.6</v>
      </c>
      <c r="N519" s="56">
        <f t="shared" si="324"/>
        <v>6.6</v>
      </c>
      <c r="O519" s="56">
        <f t="shared" si="324"/>
        <v>6.6</v>
      </c>
      <c r="P519" s="56">
        <f t="shared" si="324"/>
        <v>6.6</v>
      </c>
      <c r="Q519" s="56">
        <f t="shared" si="324"/>
        <v>6.6</v>
      </c>
      <c r="R519" s="56">
        <f t="shared" si="324"/>
        <v>6.6</v>
      </c>
      <c r="S519" s="56">
        <f t="shared" si="324"/>
        <v>6.6</v>
      </c>
      <c r="T519" s="56">
        <f t="shared" si="324"/>
        <v>6.6</v>
      </c>
      <c r="U519" s="56">
        <f t="shared" si="324"/>
        <v>6.6</v>
      </c>
      <c r="V519" s="56">
        <f t="shared" si="324"/>
        <v>6.6</v>
      </c>
      <c r="W519" s="56">
        <f t="shared" si="324"/>
        <v>6.6</v>
      </c>
      <c r="X519" s="56">
        <f t="shared" si="324"/>
        <v>6.6</v>
      </c>
      <c r="Y519" s="56">
        <f t="shared" si="324"/>
        <v>6.6</v>
      </c>
      <c r="Z519" s="56">
        <f t="shared" si="324"/>
        <v>6.6</v>
      </c>
      <c r="AA519" s="56">
        <f t="shared" si="324"/>
        <v>6.6</v>
      </c>
      <c r="AB519" s="56">
        <f t="shared" si="324"/>
        <v>6.6</v>
      </c>
      <c r="AC519" s="56">
        <f t="shared" si="324"/>
        <v>6.6</v>
      </c>
      <c r="AD519" s="56">
        <f t="shared" si="324"/>
        <v>6.6</v>
      </c>
    </row>
    <row r="520" spans="1:30" s="62" customFormat="1" ht="14.5" outlineLevel="1">
      <c r="A520" s="291" t="s">
        <v>370</v>
      </c>
      <c r="B520" s="60"/>
      <c r="C520" s="42"/>
      <c r="D520" s="61"/>
      <c r="E520" s="61"/>
      <c r="F520" s="61"/>
      <c r="G520" s="61"/>
      <c r="H520" s="61"/>
      <c r="I520" s="61"/>
      <c r="J520" s="61"/>
      <c r="K520" s="61"/>
      <c r="L520" s="61"/>
      <c r="M520" s="61"/>
      <c r="N520" s="61"/>
      <c r="O520" s="61"/>
      <c r="P520" s="61"/>
      <c r="Q520" s="61"/>
      <c r="R520" s="61"/>
      <c r="S520" s="61"/>
      <c r="T520" s="61"/>
      <c r="U520" s="61"/>
      <c r="V520" s="61"/>
      <c r="W520" s="61"/>
      <c r="X520" s="61"/>
      <c r="Y520" s="61"/>
      <c r="Z520" s="61"/>
      <c r="AA520" s="61"/>
      <c r="AB520" s="61"/>
      <c r="AC520" s="61"/>
      <c r="AD520" s="61"/>
    </row>
    <row r="521" spans="1:30" outlineLevel="1">
      <c r="A521" s="214" t="s">
        <v>176</v>
      </c>
      <c r="B521" s="214" t="s">
        <v>126</v>
      </c>
      <c r="C521" s="42"/>
      <c r="D521" s="219">
        <v>12</v>
      </c>
      <c r="E521" s="219">
        <f t="shared" ref="E521:AD521" si="325">D521</f>
        <v>12</v>
      </c>
      <c r="F521" s="219">
        <f t="shared" si="325"/>
        <v>12</v>
      </c>
      <c r="G521" s="219">
        <f t="shared" si="325"/>
        <v>12</v>
      </c>
      <c r="H521" s="219">
        <f t="shared" si="325"/>
        <v>12</v>
      </c>
      <c r="I521" s="219">
        <f t="shared" si="325"/>
        <v>12</v>
      </c>
      <c r="J521" s="219">
        <f t="shared" si="325"/>
        <v>12</v>
      </c>
      <c r="K521" s="219">
        <f t="shared" si="325"/>
        <v>12</v>
      </c>
      <c r="L521" s="219">
        <f t="shared" si="325"/>
        <v>12</v>
      </c>
      <c r="M521" s="219">
        <f t="shared" si="325"/>
        <v>12</v>
      </c>
      <c r="N521" s="219">
        <f t="shared" si="325"/>
        <v>12</v>
      </c>
      <c r="O521" s="219">
        <f t="shared" si="325"/>
        <v>12</v>
      </c>
      <c r="P521" s="219">
        <f t="shared" si="325"/>
        <v>12</v>
      </c>
      <c r="Q521" s="219">
        <f t="shared" si="325"/>
        <v>12</v>
      </c>
      <c r="R521" s="219">
        <f t="shared" si="325"/>
        <v>12</v>
      </c>
      <c r="S521" s="219">
        <f t="shared" si="325"/>
        <v>12</v>
      </c>
      <c r="T521" s="219">
        <f t="shared" si="325"/>
        <v>12</v>
      </c>
      <c r="U521" s="219">
        <f t="shared" si="325"/>
        <v>12</v>
      </c>
      <c r="V521" s="219">
        <f t="shared" si="325"/>
        <v>12</v>
      </c>
      <c r="W521" s="219">
        <f t="shared" si="325"/>
        <v>12</v>
      </c>
      <c r="X521" s="219">
        <f t="shared" si="325"/>
        <v>12</v>
      </c>
      <c r="Y521" s="219">
        <f t="shared" si="325"/>
        <v>12</v>
      </c>
      <c r="Z521" s="219">
        <f t="shared" si="325"/>
        <v>12</v>
      </c>
      <c r="AA521" s="219">
        <f t="shared" si="325"/>
        <v>12</v>
      </c>
      <c r="AB521" s="219">
        <f t="shared" si="325"/>
        <v>12</v>
      </c>
      <c r="AC521" s="219">
        <f t="shared" si="325"/>
        <v>12</v>
      </c>
      <c r="AD521" s="219">
        <f t="shared" si="325"/>
        <v>12</v>
      </c>
    </row>
    <row r="522" spans="1:30" outlineLevel="1">
      <c r="A522" s="214" t="s">
        <v>177</v>
      </c>
      <c r="B522" s="214" t="s">
        <v>126</v>
      </c>
      <c r="C522" s="42"/>
      <c r="D522" s="219">
        <v>4</v>
      </c>
      <c r="E522" s="219">
        <f t="shared" ref="E522:AD522" si="326">D522</f>
        <v>4</v>
      </c>
      <c r="F522" s="219">
        <f t="shared" si="326"/>
        <v>4</v>
      </c>
      <c r="G522" s="219">
        <f t="shared" si="326"/>
        <v>4</v>
      </c>
      <c r="H522" s="219">
        <f t="shared" si="326"/>
        <v>4</v>
      </c>
      <c r="I522" s="219">
        <f t="shared" si="326"/>
        <v>4</v>
      </c>
      <c r="J522" s="219">
        <f t="shared" si="326"/>
        <v>4</v>
      </c>
      <c r="K522" s="219">
        <f t="shared" si="326"/>
        <v>4</v>
      </c>
      <c r="L522" s="219">
        <f t="shared" si="326"/>
        <v>4</v>
      </c>
      <c r="M522" s="219">
        <f t="shared" si="326"/>
        <v>4</v>
      </c>
      <c r="N522" s="219">
        <f t="shared" si="326"/>
        <v>4</v>
      </c>
      <c r="O522" s="219">
        <f t="shared" si="326"/>
        <v>4</v>
      </c>
      <c r="P522" s="219">
        <f t="shared" si="326"/>
        <v>4</v>
      </c>
      <c r="Q522" s="219">
        <f t="shared" si="326"/>
        <v>4</v>
      </c>
      <c r="R522" s="219">
        <f t="shared" si="326"/>
        <v>4</v>
      </c>
      <c r="S522" s="219">
        <f t="shared" si="326"/>
        <v>4</v>
      </c>
      <c r="T522" s="219">
        <f t="shared" si="326"/>
        <v>4</v>
      </c>
      <c r="U522" s="219">
        <f t="shared" si="326"/>
        <v>4</v>
      </c>
      <c r="V522" s="219">
        <f t="shared" si="326"/>
        <v>4</v>
      </c>
      <c r="W522" s="219">
        <f t="shared" si="326"/>
        <v>4</v>
      </c>
      <c r="X522" s="219">
        <f t="shared" si="326"/>
        <v>4</v>
      </c>
      <c r="Y522" s="219">
        <f t="shared" si="326"/>
        <v>4</v>
      </c>
      <c r="Z522" s="219">
        <f t="shared" si="326"/>
        <v>4</v>
      </c>
      <c r="AA522" s="219">
        <f t="shared" si="326"/>
        <v>4</v>
      </c>
      <c r="AB522" s="219">
        <f t="shared" si="326"/>
        <v>4</v>
      </c>
      <c r="AC522" s="219">
        <f t="shared" si="326"/>
        <v>4</v>
      </c>
      <c r="AD522" s="219">
        <f t="shared" si="326"/>
        <v>4</v>
      </c>
    </row>
    <row r="523" spans="1:30" s="45" customFormat="1" outlineLevel="1">
      <c r="A523" s="45" t="s">
        <v>174</v>
      </c>
      <c r="B523" s="13" t="s">
        <v>126</v>
      </c>
      <c r="C523" s="42"/>
      <c r="D523" s="42">
        <f t="shared" ref="D523:AD523" si="327">SUM(D521:D522)</f>
        <v>16</v>
      </c>
      <c r="E523" s="42">
        <f t="shared" si="327"/>
        <v>16</v>
      </c>
      <c r="F523" s="42">
        <f t="shared" si="327"/>
        <v>16</v>
      </c>
      <c r="G523" s="42">
        <f t="shared" si="327"/>
        <v>16</v>
      </c>
      <c r="H523" s="42">
        <f t="shared" si="327"/>
        <v>16</v>
      </c>
      <c r="I523" s="42">
        <f t="shared" si="327"/>
        <v>16</v>
      </c>
      <c r="J523" s="42">
        <f t="shared" si="327"/>
        <v>16</v>
      </c>
      <c r="K523" s="42">
        <f t="shared" si="327"/>
        <v>16</v>
      </c>
      <c r="L523" s="42">
        <f t="shared" si="327"/>
        <v>16</v>
      </c>
      <c r="M523" s="42">
        <f t="shared" si="327"/>
        <v>16</v>
      </c>
      <c r="N523" s="42">
        <f t="shared" si="327"/>
        <v>16</v>
      </c>
      <c r="O523" s="42">
        <f t="shared" si="327"/>
        <v>16</v>
      </c>
      <c r="P523" s="42">
        <f t="shared" si="327"/>
        <v>16</v>
      </c>
      <c r="Q523" s="42">
        <f t="shared" si="327"/>
        <v>16</v>
      </c>
      <c r="R523" s="42">
        <f t="shared" si="327"/>
        <v>16</v>
      </c>
      <c r="S523" s="42">
        <f t="shared" si="327"/>
        <v>16</v>
      </c>
      <c r="T523" s="42">
        <f t="shared" si="327"/>
        <v>16</v>
      </c>
      <c r="U523" s="42">
        <f t="shared" si="327"/>
        <v>16</v>
      </c>
      <c r="V523" s="42">
        <f t="shared" si="327"/>
        <v>16</v>
      </c>
      <c r="W523" s="42">
        <f t="shared" si="327"/>
        <v>16</v>
      </c>
      <c r="X523" s="42">
        <f t="shared" si="327"/>
        <v>16</v>
      </c>
      <c r="Y523" s="42">
        <f t="shared" si="327"/>
        <v>16</v>
      </c>
      <c r="Z523" s="42">
        <f t="shared" si="327"/>
        <v>16</v>
      </c>
      <c r="AA523" s="42">
        <f t="shared" si="327"/>
        <v>16</v>
      </c>
      <c r="AB523" s="42">
        <f t="shared" si="327"/>
        <v>16</v>
      </c>
      <c r="AC523" s="42">
        <f t="shared" si="327"/>
        <v>16</v>
      </c>
      <c r="AD523" s="42">
        <f t="shared" si="327"/>
        <v>16</v>
      </c>
    </row>
    <row r="524" spans="1:30" outlineLevel="1">
      <c r="A524" s="214" t="s">
        <v>127</v>
      </c>
      <c r="B524" s="214" t="s">
        <v>334</v>
      </c>
      <c r="C524" s="42"/>
      <c r="D524" s="219">
        <v>200</v>
      </c>
      <c r="E524" s="219">
        <f t="shared" ref="E524:AD524" si="328">D524</f>
        <v>200</v>
      </c>
      <c r="F524" s="219">
        <f t="shared" si="328"/>
        <v>200</v>
      </c>
      <c r="G524" s="219">
        <f t="shared" si="328"/>
        <v>200</v>
      </c>
      <c r="H524" s="219">
        <f t="shared" si="328"/>
        <v>200</v>
      </c>
      <c r="I524" s="219">
        <f t="shared" si="328"/>
        <v>200</v>
      </c>
      <c r="J524" s="219">
        <f t="shared" si="328"/>
        <v>200</v>
      </c>
      <c r="K524" s="219">
        <f t="shared" si="328"/>
        <v>200</v>
      </c>
      <c r="L524" s="219">
        <f t="shared" si="328"/>
        <v>200</v>
      </c>
      <c r="M524" s="219">
        <f t="shared" si="328"/>
        <v>200</v>
      </c>
      <c r="N524" s="219">
        <f t="shared" si="328"/>
        <v>200</v>
      </c>
      <c r="O524" s="219">
        <f t="shared" si="328"/>
        <v>200</v>
      </c>
      <c r="P524" s="219">
        <f t="shared" si="328"/>
        <v>200</v>
      </c>
      <c r="Q524" s="219">
        <f t="shared" si="328"/>
        <v>200</v>
      </c>
      <c r="R524" s="219">
        <f t="shared" si="328"/>
        <v>200</v>
      </c>
      <c r="S524" s="219">
        <f t="shared" si="328"/>
        <v>200</v>
      </c>
      <c r="T524" s="219">
        <f t="shared" si="328"/>
        <v>200</v>
      </c>
      <c r="U524" s="219">
        <f t="shared" si="328"/>
        <v>200</v>
      </c>
      <c r="V524" s="219">
        <f t="shared" si="328"/>
        <v>200</v>
      </c>
      <c r="W524" s="219">
        <f t="shared" si="328"/>
        <v>200</v>
      </c>
      <c r="X524" s="219">
        <f t="shared" si="328"/>
        <v>200</v>
      </c>
      <c r="Y524" s="219">
        <f t="shared" si="328"/>
        <v>200</v>
      </c>
      <c r="Z524" s="219">
        <f t="shared" si="328"/>
        <v>200</v>
      </c>
      <c r="AA524" s="219">
        <f t="shared" si="328"/>
        <v>200</v>
      </c>
      <c r="AB524" s="219">
        <f t="shared" si="328"/>
        <v>200</v>
      </c>
      <c r="AC524" s="219">
        <f t="shared" si="328"/>
        <v>200</v>
      </c>
      <c r="AD524" s="219">
        <f t="shared" si="328"/>
        <v>200</v>
      </c>
    </row>
    <row r="525" spans="1:30" s="45" customFormat="1" outlineLevel="1">
      <c r="A525" s="45" t="str">
        <f>A520</f>
        <v>Labour - Logistics &amp; warehouse</v>
      </c>
      <c r="B525" s="13" t="s">
        <v>284</v>
      </c>
      <c r="C525" s="42">
        <f>SUM(D525:AD525)</f>
        <v>86.400000000000034</v>
      </c>
      <c r="D525" s="56">
        <f t="shared" ref="D525:AD525" si="329">D523*D524/1000</f>
        <v>3.2</v>
      </c>
      <c r="E525" s="56">
        <f t="shared" si="329"/>
        <v>3.2</v>
      </c>
      <c r="F525" s="56">
        <f t="shared" si="329"/>
        <v>3.2</v>
      </c>
      <c r="G525" s="56">
        <f t="shared" si="329"/>
        <v>3.2</v>
      </c>
      <c r="H525" s="56">
        <f t="shared" si="329"/>
        <v>3.2</v>
      </c>
      <c r="I525" s="56">
        <f t="shared" si="329"/>
        <v>3.2</v>
      </c>
      <c r="J525" s="56">
        <f t="shared" si="329"/>
        <v>3.2</v>
      </c>
      <c r="K525" s="56">
        <f t="shared" si="329"/>
        <v>3.2</v>
      </c>
      <c r="L525" s="56">
        <f t="shared" si="329"/>
        <v>3.2</v>
      </c>
      <c r="M525" s="56">
        <f t="shared" si="329"/>
        <v>3.2</v>
      </c>
      <c r="N525" s="56">
        <f t="shared" si="329"/>
        <v>3.2</v>
      </c>
      <c r="O525" s="56">
        <f t="shared" si="329"/>
        <v>3.2</v>
      </c>
      <c r="P525" s="56">
        <f t="shared" si="329"/>
        <v>3.2</v>
      </c>
      <c r="Q525" s="56">
        <f t="shared" si="329"/>
        <v>3.2</v>
      </c>
      <c r="R525" s="56">
        <f t="shared" si="329"/>
        <v>3.2</v>
      </c>
      <c r="S525" s="56">
        <f t="shared" si="329"/>
        <v>3.2</v>
      </c>
      <c r="T525" s="56">
        <f t="shared" si="329"/>
        <v>3.2</v>
      </c>
      <c r="U525" s="56">
        <f t="shared" si="329"/>
        <v>3.2</v>
      </c>
      <c r="V525" s="56">
        <f t="shared" si="329"/>
        <v>3.2</v>
      </c>
      <c r="W525" s="56">
        <f t="shared" si="329"/>
        <v>3.2</v>
      </c>
      <c r="X525" s="56">
        <f t="shared" si="329"/>
        <v>3.2</v>
      </c>
      <c r="Y525" s="56">
        <f t="shared" si="329"/>
        <v>3.2</v>
      </c>
      <c r="Z525" s="56">
        <f t="shared" si="329"/>
        <v>3.2</v>
      </c>
      <c r="AA525" s="56">
        <f t="shared" si="329"/>
        <v>3.2</v>
      </c>
      <c r="AB525" s="56">
        <f t="shared" si="329"/>
        <v>3.2</v>
      </c>
      <c r="AC525" s="56">
        <f t="shared" si="329"/>
        <v>3.2</v>
      </c>
      <c r="AD525" s="56">
        <f t="shared" si="329"/>
        <v>3.2</v>
      </c>
    </row>
    <row r="526" spans="1:30" s="62" customFormat="1" ht="14.5" outlineLevel="1">
      <c r="A526" s="291" t="s">
        <v>346</v>
      </c>
      <c r="B526" s="60"/>
      <c r="C526" s="42"/>
      <c r="D526" s="61"/>
      <c r="E526" s="61"/>
      <c r="F526" s="61"/>
      <c r="G526" s="61"/>
      <c r="H526" s="61"/>
      <c r="I526" s="61"/>
      <c r="J526" s="61"/>
      <c r="K526" s="61"/>
      <c r="L526" s="61"/>
      <c r="M526" s="61"/>
      <c r="N526" s="61"/>
      <c r="O526" s="61"/>
      <c r="P526" s="61"/>
      <c r="Q526" s="61"/>
      <c r="R526" s="61"/>
      <c r="S526" s="61"/>
      <c r="T526" s="61"/>
      <c r="U526" s="61"/>
      <c r="V526" s="61"/>
      <c r="W526" s="61"/>
      <c r="X526" s="61"/>
      <c r="Y526" s="61"/>
      <c r="Z526" s="61"/>
      <c r="AA526" s="61"/>
      <c r="AB526" s="61"/>
      <c r="AC526" s="61"/>
      <c r="AD526" s="61"/>
    </row>
    <row r="527" spans="1:30" outlineLevel="1">
      <c r="A527" s="214" t="s">
        <v>178</v>
      </c>
      <c r="B527" s="214" t="s">
        <v>126</v>
      </c>
      <c r="C527" s="42"/>
      <c r="D527" s="219">
        <v>92</v>
      </c>
      <c r="E527" s="219">
        <f t="shared" ref="E527:AD527" si="330">D527</f>
        <v>92</v>
      </c>
      <c r="F527" s="219">
        <f t="shared" si="330"/>
        <v>92</v>
      </c>
      <c r="G527" s="219">
        <f t="shared" si="330"/>
        <v>92</v>
      </c>
      <c r="H527" s="219">
        <f t="shared" si="330"/>
        <v>92</v>
      </c>
      <c r="I527" s="219">
        <f t="shared" si="330"/>
        <v>92</v>
      </c>
      <c r="J527" s="219">
        <f t="shared" si="330"/>
        <v>92</v>
      </c>
      <c r="K527" s="219">
        <f t="shared" si="330"/>
        <v>92</v>
      </c>
      <c r="L527" s="219">
        <f t="shared" si="330"/>
        <v>92</v>
      </c>
      <c r="M527" s="219">
        <f t="shared" si="330"/>
        <v>92</v>
      </c>
      <c r="N527" s="219">
        <f t="shared" si="330"/>
        <v>92</v>
      </c>
      <c r="O527" s="219">
        <f t="shared" si="330"/>
        <v>92</v>
      </c>
      <c r="P527" s="219">
        <f t="shared" si="330"/>
        <v>92</v>
      </c>
      <c r="Q527" s="219">
        <f t="shared" si="330"/>
        <v>92</v>
      </c>
      <c r="R527" s="219">
        <f t="shared" si="330"/>
        <v>92</v>
      </c>
      <c r="S527" s="219">
        <f t="shared" si="330"/>
        <v>92</v>
      </c>
      <c r="T527" s="219">
        <f t="shared" si="330"/>
        <v>92</v>
      </c>
      <c r="U527" s="219">
        <f t="shared" si="330"/>
        <v>92</v>
      </c>
      <c r="V527" s="219">
        <f t="shared" si="330"/>
        <v>92</v>
      </c>
      <c r="W527" s="219">
        <f t="shared" si="330"/>
        <v>92</v>
      </c>
      <c r="X527" s="219">
        <f t="shared" si="330"/>
        <v>92</v>
      </c>
      <c r="Y527" s="219">
        <f t="shared" si="330"/>
        <v>92</v>
      </c>
      <c r="Z527" s="219">
        <f t="shared" si="330"/>
        <v>92</v>
      </c>
      <c r="AA527" s="219">
        <f t="shared" si="330"/>
        <v>92</v>
      </c>
      <c r="AB527" s="219">
        <f t="shared" si="330"/>
        <v>92</v>
      </c>
      <c r="AC527" s="219">
        <f t="shared" si="330"/>
        <v>92</v>
      </c>
      <c r="AD527" s="219">
        <f t="shared" si="330"/>
        <v>92</v>
      </c>
    </row>
    <row r="528" spans="1:30" outlineLevel="1">
      <c r="A528" s="214" t="s">
        <v>179</v>
      </c>
      <c r="B528" s="214" t="s">
        <v>334</v>
      </c>
      <c r="C528" s="42"/>
      <c r="D528" s="219">
        <v>190</v>
      </c>
      <c r="E528" s="219">
        <f t="shared" ref="E528:AD528" si="331">D528</f>
        <v>190</v>
      </c>
      <c r="F528" s="219">
        <f t="shared" si="331"/>
        <v>190</v>
      </c>
      <c r="G528" s="219">
        <f t="shared" si="331"/>
        <v>190</v>
      </c>
      <c r="H528" s="219">
        <f t="shared" si="331"/>
        <v>190</v>
      </c>
      <c r="I528" s="219">
        <f t="shared" si="331"/>
        <v>190</v>
      </c>
      <c r="J528" s="219">
        <f t="shared" si="331"/>
        <v>190</v>
      </c>
      <c r="K528" s="219">
        <f t="shared" si="331"/>
        <v>190</v>
      </c>
      <c r="L528" s="219">
        <f t="shared" si="331"/>
        <v>190</v>
      </c>
      <c r="M528" s="219">
        <f t="shared" si="331"/>
        <v>190</v>
      </c>
      <c r="N528" s="219">
        <f t="shared" si="331"/>
        <v>190</v>
      </c>
      <c r="O528" s="219">
        <f t="shared" si="331"/>
        <v>190</v>
      </c>
      <c r="P528" s="219">
        <f t="shared" si="331"/>
        <v>190</v>
      </c>
      <c r="Q528" s="219">
        <f t="shared" si="331"/>
        <v>190</v>
      </c>
      <c r="R528" s="219">
        <f t="shared" si="331"/>
        <v>190</v>
      </c>
      <c r="S528" s="219">
        <f t="shared" si="331"/>
        <v>190</v>
      </c>
      <c r="T528" s="219">
        <f t="shared" si="331"/>
        <v>190</v>
      </c>
      <c r="U528" s="219">
        <f t="shared" si="331"/>
        <v>190</v>
      </c>
      <c r="V528" s="219">
        <f t="shared" si="331"/>
        <v>190</v>
      </c>
      <c r="W528" s="219">
        <f t="shared" si="331"/>
        <v>190</v>
      </c>
      <c r="X528" s="219">
        <f t="shared" si="331"/>
        <v>190</v>
      </c>
      <c r="Y528" s="219">
        <f t="shared" si="331"/>
        <v>190</v>
      </c>
      <c r="Z528" s="219">
        <f t="shared" si="331"/>
        <v>190</v>
      </c>
      <c r="AA528" s="219">
        <f t="shared" si="331"/>
        <v>190</v>
      </c>
      <c r="AB528" s="219">
        <f t="shared" si="331"/>
        <v>190</v>
      </c>
      <c r="AC528" s="219">
        <f t="shared" si="331"/>
        <v>190</v>
      </c>
      <c r="AD528" s="219">
        <f t="shared" si="331"/>
        <v>190</v>
      </c>
    </row>
    <row r="529" spans="1:30" s="45" customFormat="1" outlineLevel="1">
      <c r="A529" s="45" t="str">
        <f>A526</f>
        <v xml:space="preserve">Labour - Camp </v>
      </c>
      <c r="B529" s="13" t="s">
        <v>284</v>
      </c>
      <c r="C529" s="42">
        <f>SUM(D529:AD529)</f>
        <v>471.96000000000015</v>
      </c>
      <c r="D529" s="56">
        <f t="shared" ref="D529:AD529" si="332">D527*D528/1000</f>
        <v>17.48</v>
      </c>
      <c r="E529" s="56">
        <f t="shared" si="332"/>
        <v>17.48</v>
      </c>
      <c r="F529" s="56">
        <f t="shared" si="332"/>
        <v>17.48</v>
      </c>
      <c r="G529" s="56">
        <f t="shared" si="332"/>
        <v>17.48</v>
      </c>
      <c r="H529" s="56">
        <f t="shared" si="332"/>
        <v>17.48</v>
      </c>
      <c r="I529" s="56">
        <f t="shared" si="332"/>
        <v>17.48</v>
      </c>
      <c r="J529" s="56">
        <f t="shared" si="332"/>
        <v>17.48</v>
      </c>
      <c r="K529" s="56">
        <f t="shared" si="332"/>
        <v>17.48</v>
      </c>
      <c r="L529" s="56">
        <f t="shared" si="332"/>
        <v>17.48</v>
      </c>
      <c r="M529" s="56">
        <f t="shared" si="332"/>
        <v>17.48</v>
      </c>
      <c r="N529" s="56">
        <f t="shared" si="332"/>
        <v>17.48</v>
      </c>
      <c r="O529" s="56">
        <f t="shared" si="332"/>
        <v>17.48</v>
      </c>
      <c r="P529" s="56">
        <f t="shared" si="332"/>
        <v>17.48</v>
      </c>
      <c r="Q529" s="56">
        <f t="shared" si="332"/>
        <v>17.48</v>
      </c>
      <c r="R529" s="56">
        <f t="shared" si="332"/>
        <v>17.48</v>
      </c>
      <c r="S529" s="56">
        <f t="shared" si="332"/>
        <v>17.48</v>
      </c>
      <c r="T529" s="56">
        <f t="shared" si="332"/>
        <v>17.48</v>
      </c>
      <c r="U529" s="56">
        <f t="shared" si="332"/>
        <v>17.48</v>
      </c>
      <c r="V529" s="56">
        <f t="shared" si="332"/>
        <v>17.48</v>
      </c>
      <c r="W529" s="56">
        <f t="shared" si="332"/>
        <v>17.48</v>
      </c>
      <c r="X529" s="56">
        <f t="shared" si="332"/>
        <v>17.48</v>
      </c>
      <c r="Y529" s="56">
        <f t="shared" si="332"/>
        <v>17.48</v>
      </c>
      <c r="Z529" s="56">
        <f t="shared" si="332"/>
        <v>17.48</v>
      </c>
      <c r="AA529" s="56">
        <f t="shared" si="332"/>
        <v>17.48</v>
      </c>
      <c r="AB529" s="56">
        <f t="shared" si="332"/>
        <v>17.48</v>
      </c>
      <c r="AC529" s="56">
        <f t="shared" si="332"/>
        <v>17.48</v>
      </c>
      <c r="AD529" s="56">
        <f t="shared" si="332"/>
        <v>17.48</v>
      </c>
    </row>
    <row r="530" spans="1:30" s="62" customFormat="1" ht="14.5" outlineLevel="1">
      <c r="A530" s="291" t="s">
        <v>347</v>
      </c>
      <c r="B530" s="60"/>
      <c r="C530" s="42"/>
      <c r="D530" s="61"/>
      <c r="E530" s="61"/>
      <c r="F530" s="61"/>
      <c r="G530" s="61"/>
      <c r="H530" s="61"/>
      <c r="I530" s="61"/>
      <c r="J530" s="61"/>
      <c r="K530" s="61"/>
      <c r="L530" s="61"/>
      <c r="M530" s="61"/>
      <c r="N530" s="61"/>
      <c r="O530" s="61"/>
      <c r="P530" s="61"/>
      <c r="Q530" s="61"/>
      <c r="R530" s="61"/>
      <c r="S530" s="61"/>
      <c r="T530" s="61"/>
      <c r="U530" s="61"/>
      <c r="V530" s="61"/>
      <c r="W530" s="61"/>
      <c r="X530" s="61"/>
      <c r="Y530" s="61"/>
      <c r="Z530" s="61"/>
      <c r="AA530" s="61"/>
      <c r="AB530" s="61"/>
      <c r="AC530" s="61"/>
      <c r="AD530" s="61"/>
    </row>
    <row r="531" spans="1:30" outlineLevel="1">
      <c r="A531" s="214" t="s">
        <v>180</v>
      </c>
      <c r="B531" s="214" t="s">
        <v>126</v>
      </c>
      <c r="C531" s="42"/>
      <c r="D531" s="219">
        <v>9</v>
      </c>
      <c r="E531" s="219">
        <f t="shared" ref="E531:AD531" si="333">D531</f>
        <v>9</v>
      </c>
      <c r="F531" s="219">
        <f t="shared" si="333"/>
        <v>9</v>
      </c>
      <c r="G531" s="219">
        <f t="shared" si="333"/>
        <v>9</v>
      </c>
      <c r="H531" s="219">
        <f t="shared" si="333"/>
        <v>9</v>
      </c>
      <c r="I531" s="219">
        <f t="shared" si="333"/>
        <v>9</v>
      </c>
      <c r="J531" s="219">
        <f t="shared" si="333"/>
        <v>9</v>
      </c>
      <c r="K531" s="219">
        <f t="shared" si="333"/>
        <v>9</v>
      </c>
      <c r="L531" s="219">
        <f t="shared" si="333"/>
        <v>9</v>
      </c>
      <c r="M531" s="219">
        <f t="shared" si="333"/>
        <v>9</v>
      </c>
      <c r="N531" s="219">
        <f t="shared" si="333"/>
        <v>9</v>
      </c>
      <c r="O531" s="219">
        <f t="shared" si="333"/>
        <v>9</v>
      </c>
      <c r="P531" s="219">
        <f t="shared" si="333"/>
        <v>9</v>
      </c>
      <c r="Q531" s="219">
        <f t="shared" si="333"/>
        <v>9</v>
      </c>
      <c r="R531" s="219">
        <f t="shared" si="333"/>
        <v>9</v>
      </c>
      <c r="S531" s="219">
        <f t="shared" si="333"/>
        <v>9</v>
      </c>
      <c r="T531" s="219">
        <f t="shared" si="333"/>
        <v>9</v>
      </c>
      <c r="U531" s="219">
        <f t="shared" si="333"/>
        <v>9</v>
      </c>
      <c r="V531" s="219">
        <f t="shared" si="333"/>
        <v>9</v>
      </c>
      <c r="W531" s="219">
        <f t="shared" si="333"/>
        <v>9</v>
      </c>
      <c r="X531" s="219">
        <f t="shared" si="333"/>
        <v>9</v>
      </c>
      <c r="Y531" s="219">
        <f t="shared" si="333"/>
        <v>9</v>
      </c>
      <c r="Z531" s="219">
        <f t="shared" si="333"/>
        <v>9</v>
      </c>
      <c r="AA531" s="219">
        <f t="shared" si="333"/>
        <v>9</v>
      </c>
      <c r="AB531" s="219">
        <f t="shared" si="333"/>
        <v>9</v>
      </c>
      <c r="AC531" s="219">
        <f t="shared" si="333"/>
        <v>9</v>
      </c>
      <c r="AD531" s="219">
        <f t="shared" si="333"/>
        <v>9</v>
      </c>
    </row>
    <row r="532" spans="1:30" outlineLevel="1">
      <c r="A532" s="214" t="s">
        <v>181</v>
      </c>
      <c r="B532" s="214" t="s">
        <v>334</v>
      </c>
      <c r="C532" s="42"/>
      <c r="D532" s="219">
        <v>190</v>
      </c>
      <c r="E532" s="219">
        <f t="shared" ref="E532:AD532" si="334">D532</f>
        <v>190</v>
      </c>
      <c r="F532" s="219">
        <f t="shared" si="334"/>
        <v>190</v>
      </c>
      <c r="G532" s="219">
        <f t="shared" si="334"/>
        <v>190</v>
      </c>
      <c r="H532" s="219">
        <f t="shared" si="334"/>
        <v>190</v>
      </c>
      <c r="I532" s="219">
        <f t="shared" si="334"/>
        <v>190</v>
      </c>
      <c r="J532" s="219">
        <f t="shared" si="334"/>
        <v>190</v>
      </c>
      <c r="K532" s="219">
        <f t="shared" si="334"/>
        <v>190</v>
      </c>
      <c r="L532" s="219">
        <f t="shared" si="334"/>
        <v>190</v>
      </c>
      <c r="M532" s="219">
        <f t="shared" si="334"/>
        <v>190</v>
      </c>
      <c r="N532" s="219">
        <f t="shared" si="334"/>
        <v>190</v>
      </c>
      <c r="O532" s="219">
        <f t="shared" si="334"/>
        <v>190</v>
      </c>
      <c r="P532" s="219">
        <f t="shared" si="334"/>
        <v>190</v>
      </c>
      <c r="Q532" s="219">
        <f t="shared" si="334"/>
        <v>190</v>
      </c>
      <c r="R532" s="219">
        <f t="shared" si="334"/>
        <v>190</v>
      </c>
      <c r="S532" s="219">
        <f t="shared" si="334"/>
        <v>190</v>
      </c>
      <c r="T532" s="219">
        <f t="shared" si="334"/>
        <v>190</v>
      </c>
      <c r="U532" s="219">
        <f t="shared" si="334"/>
        <v>190</v>
      </c>
      <c r="V532" s="219">
        <f t="shared" si="334"/>
        <v>190</v>
      </c>
      <c r="W532" s="219">
        <f t="shared" si="334"/>
        <v>190</v>
      </c>
      <c r="X532" s="219">
        <f t="shared" si="334"/>
        <v>190</v>
      </c>
      <c r="Y532" s="219">
        <f t="shared" si="334"/>
        <v>190</v>
      </c>
      <c r="Z532" s="219">
        <f t="shared" si="334"/>
        <v>190</v>
      </c>
      <c r="AA532" s="219">
        <f t="shared" si="334"/>
        <v>190</v>
      </c>
      <c r="AB532" s="219">
        <f t="shared" si="334"/>
        <v>190</v>
      </c>
      <c r="AC532" s="219">
        <f t="shared" si="334"/>
        <v>190</v>
      </c>
      <c r="AD532" s="219">
        <f t="shared" si="334"/>
        <v>190</v>
      </c>
    </row>
    <row r="533" spans="1:30" s="45" customFormat="1" outlineLevel="1">
      <c r="A533" s="45" t="str">
        <f>A530</f>
        <v>Labour - HSE &amp; Community</v>
      </c>
      <c r="B533" s="13" t="s">
        <v>284</v>
      </c>
      <c r="C533" s="42">
        <f>SUM(D533:AD533)</f>
        <v>46.170000000000016</v>
      </c>
      <c r="D533" s="56">
        <f t="shared" ref="D533:AD533" si="335">D531*D532/1000</f>
        <v>1.71</v>
      </c>
      <c r="E533" s="56">
        <f t="shared" si="335"/>
        <v>1.71</v>
      </c>
      <c r="F533" s="56">
        <f t="shared" si="335"/>
        <v>1.71</v>
      </c>
      <c r="G533" s="56">
        <f t="shared" si="335"/>
        <v>1.71</v>
      </c>
      <c r="H533" s="56">
        <f t="shared" si="335"/>
        <v>1.71</v>
      </c>
      <c r="I533" s="56">
        <f t="shared" si="335"/>
        <v>1.71</v>
      </c>
      <c r="J533" s="56">
        <f t="shared" si="335"/>
        <v>1.71</v>
      </c>
      <c r="K533" s="56">
        <f t="shared" si="335"/>
        <v>1.71</v>
      </c>
      <c r="L533" s="56">
        <f t="shared" si="335"/>
        <v>1.71</v>
      </c>
      <c r="M533" s="56">
        <f t="shared" si="335"/>
        <v>1.71</v>
      </c>
      <c r="N533" s="56">
        <f t="shared" si="335"/>
        <v>1.71</v>
      </c>
      <c r="O533" s="56">
        <f t="shared" si="335"/>
        <v>1.71</v>
      </c>
      <c r="P533" s="56">
        <f t="shared" si="335"/>
        <v>1.71</v>
      </c>
      <c r="Q533" s="56">
        <f t="shared" si="335"/>
        <v>1.71</v>
      </c>
      <c r="R533" s="56">
        <f t="shared" si="335"/>
        <v>1.71</v>
      </c>
      <c r="S533" s="56">
        <f t="shared" si="335"/>
        <v>1.71</v>
      </c>
      <c r="T533" s="56">
        <f t="shared" si="335"/>
        <v>1.71</v>
      </c>
      <c r="U533" s="56">
        <f t="shared" si="335"/>
        <v>1.71</v>
      </c>
      <c r="V533" s="56">
        <f t="shared" si="335"/>
        <v>1.71</v>
      </c>
      <c r="W533" s="56">
        <f t="shared" si="335"/>
        <v>1.71</v>
      </c>
      <c r="X533" s="56">
        <f t="shared" si="335"/>
        <v>1.71</v>
      </c>
      <c r="Y533" s="56">
        <f t="shared" si="335"/>
        <v>1.71</v>
      </c>
      <c r="Z533" s="56">
        <f t="shared" si="335"/>
        <v>1.71</v>
      </c>
      <c r="AA533" s="56">
        <f t="shared" si="335"/>
        <v>1.71</v>
      </c>
      <c r="AB533" s="56">
        <f t="shared" si="335"/>
        <v>1.71</v>
      </c>
      <c r="AC533" s="56">
        <f t="shared" si="335"/>
        <v>1.71</v>
      </c>
      <c r="AD533" s="56">
        <f t="shared" si="335"/>
        <v>1.71</v>
      </c>
    </row>
    <row r="534" spans="1:30" s="62" customFormat="1" outlineLevel="1">
      <c r="A534" s="41"/>
      <c r="B534" s="60"/>
      <c r="C534" s="42"/>
      <c r="D534" s="61"/>
      <c r="E534" s="61"/>
      <c r="F534" s="61"/>
      <c r="G534" s="61"/>
      <c r="H534" s="61"/>
      <c r="I534" s="61"/>
      <c r="J534" s="61"/>
      <c r="K534" s="61"/>
      <c r="L534" s="61"/>
      <c r="M534" s="61"/>
      <c r="N534" s="61"/>
      <c r="O534" s="61"/>
      <c r="P534" s="61"/>
      <c r="Q534" s="61"/>
      <c r="R534" s="61"/>
      <c r="S534" s="61"/>
      <c r="T534" s="61"/>
      <c r="U534" s="61"/>
      <c r="V534" s="61"/>
      <c r="W534" s="61"/>
      <c r="X534" s="61"/>
      <c r="Y534" s="61"/>
      <c r="Z534" s="61"/>
      <c r="AA534" s="61"/>
      <c r="AB534" s="61"/>
      <c r="AC534" s="61"/>
      <c r="AD534" s="61"/>
    </row>
    <row r="535" spans="1:30" s="45" customFormat="1" outlineLevel="1">
      <c r="A535" s="45" t="str">
        <f>A514</f>
        <v>Labour - G&amp;A</v>
      </c>
      <c r="B535" s="13"/>
      <c r="C535" s="42"/>
      <c r="D535" s="101">
        <f t="shared" ref="D535:AD535" si="336">D519+D525+D529+D533</f>
        <v>28.990000000000002</v>
      </c>
      <c r="E535" s="101">
        <f t="shared" si="336"/>
        <v>28.990000000000002</v>
      </c>
      <c r="F535" s="101">
        <f t="shared" si="336"/>
        <v>28.990000000000002</v>
      </c>
      <c r="G535" s="101">
        <f t="shared" si="336"/>
        <v>28.990000000000002</v>
      </c>
      <c r="H535" s="101">
        <f t="shared" si="336"/>
        <v>28.990000000000002</v>
      </c>
      <c r="I535" s="101">
        <f t="shared" si="336"/>
        <v>28.990000000000002</v>
      </c>
      <c r="J535" s="101">
        <f t="shared" si="336"/>
        <v>28.990000000000002</v>
      </c>
      <c r="K535" s="101">
        <f t="shared" si="336"/>
        <v>28.990000000000002</v>
      </c>
      <c r="L535" s="101">
        <f t="shared" si="336"/>
        <v>28.990000000000002</v>
      </c>
      <c r="M535" s="101">
        <f t="shared" si="336"/>
        <v>28.990000000000002</v>
      </c>
      <c r="N535" s="101">
        <f t="shared" si="336"/>
        <v>28.990000000000002</v>
      </c>
      <c r="O535" s="101">
        <f t="shared" si="336"/>
        <v>28.990000000000002</v>
      </c>
      <c r="P535" s="101">
        <f t="shared" si="336"/>
        <v>28.990000000000002</v>
      </c>
      <c r="Q535" s="101">
        <f t="shared" si="336"/>
        <v>28.990000000000002</v>
      </c>
      <c r="R535" s="101">
        <f t="shared" si="336"/>
        <v>28.990000000000002</v>
      </c>
      <c r="S535" s="101">
        <f t="shared" si="336"/>
        <v>28.990000000000002</v>
      </c>
      <c r="T535" s="101">
        <f t="shared" si="336"/>
        <v>28.990000000000002</v>
      </c>
      <c r="U535" s="101">
        <f t="shared" si="336"/>
        <v>28.990000000000002</v>
      </c>
      <c r="V535" s="101">
        <f t="shared" si="336"/>
        <v>28.990000000000002</v>
      </c>
      <c r="W535" s="101">
        <f t="shared" si="336"/>
        <v>28.990000000000002</v>
      </c>
      <c r="X535" s="101">
        <f t="shared" si="336"/>
        <v>28.990000000000002</v>
      </c>
      <c r="Y535" s="101">
        <f t="shared" si="336"/>
        <v>28.990000000000002</v>
      </c>
      <c r="Z535" s="101">
        <f t="shared" si="336"/>
        <v>28.990000000000002</v>
      </c>
      <c r="AA535" s="101">
        <f t="shared" si="336"/>
        <v>28.990000000000002</v>
      </c>
      <c r="AB535" s="101">
        <f t="shared" si="336"/>
        <v>28.990000000000002</v>
      </c>
      <c r="AC535" s="101">
        <f t="shared" si="336"/>
        <v>28.990000000000002</v>
      </c>
      <c r="AD535" s="101">
        <f t="shared" si="336"/>
        <v>28.990000000000002</v>
      </c>
    </row>
    <row r="536" spans="1:30" s="62" customFormat="1" outlineLevel="1">
      <c r="A536" s="41"/>
      <c r="B536" s="60"/>
      <c r="C536" s="42"/>
      <c r="D536" s="61"/>
      <c r="E536" s="61"/>
      <c r="F536" s="61"/>
      <c r="G536" s="61"/>
      <c r="H536" s="61"/>
      <c r="I536" s="61"/>
      <c r="J536" s="61"/>
      <c r="K536" s="61"/>
      <c r="L536" s="61"/>
      <c r="M536" s="61"/>
      <c r="N536" s="61"/>
      <c r="O536" s="61"/>
      <c r="P536" s="61"/>
      <c r="Q536" s="61"/>
      <c r="R536" s="61"/>
      <c r="S536" s="61"/>
      <c r="T536" s="61"/>
      <c r="U536" s="61"/>
      <c r="V536" s="61"/>
      <c r="W536" s="61"/>
      <c r="X536" s="61"/>
      <c r="Y536" s="61"/>
      <c r="Z536" s="61"/>
      <c r="AA536" s="61"/>
      <c r="AB536" s="61"/>
      <c r="AC536" s="61"/>
      <c r="AD536" s="61"/>
    </row>
    <row r="537" spans="1:30" s="116" customFormat="1" ht="23.4" customHeight="1" outlineLevel="1">
      <c r="A537" s="146" t="s">
        <v>340</v>
      </c>
      <c r="B537" s="114"/>
      <c r="C537" s="40"/>
      <c r="D537" s="115"/>
      <c r="E537" s="115"/>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row>
    <row r="538" spans="1:30" s="62" customFormat="1" outlineLevel="1">
      <c r="A538" s="13" t="s">
        <v>562</v>
      </c>
      <c r="B538" s="60"/>
      <c r="C538" s="42"/>
      <c r="D538" s="61"/>
      <c r="E538" s="61"/>
      <c r="F538" s="61"/>
      <c r="G538" s="61"/>
      <c r="H538" s="61"/>
      <c r="I538" s="61"/>
      <c r="J538" s="61"/>
      <c r="K538" s="61"/>
      <c r="L538" s="61"/>
      <c r="M538" s="61"/>
      <c r="N538" s="61"/>
      <c r="O538" s="61"/>
      <c r="P538" s="61"/>
      <c r="Q538" s="61"/>
      <c r="R538" s="61"/>
      <c r="S538" s="61"/>
      <c r="T538" s="61"/>
      <c r="U538" s="61"/>
      <c r="V538" s="61"/>
      <c r="W538" s="61"/>
      <c r="X538" s="61"/>
      <c r="Y538" s="61"/>
      <c r="Z538" s="61"/>
      <c r="AA538" s="61"/>
      <c r="AB538" s="61"/>
      <c r="AC538" s="61"/>
      <c r="AD538" s="61"/>
    </row>
    <row r="539" spans="1:30" outlineLevel="1">
      <c r="A539" s="214" t="s">
        <v>348</v>
      </c>
      <c r="B539" s="214" t="s">
        <v>172</v>
      </c>
      <c r="C539" s="42"/>
      <c r="D539" s="219">
        <v>2000</v>
      </c>
      <c r="E539" s="219">
        <f t="shared" ref="E539:AD539" si="337">D539</f>
        <v>2000</v>
      </c>
      <c r="F539" s="219">
        <f t="shared" si="337"/>
        <v>2000</v>
      </c>
      <c r="G539" s="219">
        <f t="shared" si="337"/>
        <v>2000</v>
      </c>
      <c r="H539" s="219">
        <f t="shared" si="337"/>
        <v>2000</v>
      </c>
      <c r="I539" s="219">
        <f t="shared" si="337"/>
        <v>2000</v>
      </c>
      <c r="J539" s="219">
        <f t="shared" si="337"/>
        <v>2000</v>
      </c>
      <c r="K539" s="219">
        <f t="shared" si="337"/>
        <v>2000</v>
      </c>
      <c r="L539" s="219">
        <f t="shared" si="337"/>
        <v>2000</v>
      </c>
      <c r="M539" s="219">
        <f t="shared" si="337"/>
        <v>2000</v>
      </c>
      <c r="N539" s="219">
        <f t="shared" si="337"/>
        <v>2000</v>
      </c>
      <c r="O539" s="219">
        <f t="shared" si="337"/>
        <v>2000</v>
      </c>
      <c r="P539" s="219">
        <f t="shared" si="337"/>
        <v>2000</v>
      </c>
      <c r="Q539" s="219">
        <f t="shared" si="337"/>
        <v>2000</v>
      </c>
      <c r="R539" s="219">
        <f t="shared" si="337"/>
        <v>2000</v>
      </c>
      <c r="S539" s="219">
        <f t="shared" si="337"/>
        <v>2000</v>
      </c>
      <c r="T539" s="219">
        <f t="shared" si="337"/>
        <v>2000</v>
      </c>
      <c r="U539" s="219">
        <f t="shared" si="337"/>
        <v>2000</v>
      </c>
      <c r="V539" s="219">
        <f t="shared" si="337"/>
        <v>2000</v>
      </c>
      <c r="W539" s="219">
        <f t="shared" si="337"/>
        <v>2000</v>
      </c>
      <c r="X539" s="219">
        <f t="shared" si="337"/>
        <v>2000</v>
      </c>
      <c r="Y539" s="219">
        <f t="shared" si="337"/>
        <v>2000</v>
      </c>
      <c r="Z539" s="219">
        <f t="shared" si="337"/>
        <v>2000</v>
      </c>
      <c r="AA539" s="219">
        <f t="shared" si="337"/>
        <v>2000</v>
      </c>
      <c r="AB539" s="219">
        <f t="shared" si="337"/>
        <v>2000</v>
      </c>
      <c r="AC539" s="219">
        <f t="shared" si="337"/>
        <v>2000</v>
      </c>
      <c r="AD539" s="219">
        <f t="shared" si="337"/>
        <v>2000</v>
      </c>
    </row>
    <row r="540" spans="1:30" s="45" customFormat="1" outlineLevel="1">
      <c r="A540" s="45" t="str">
        <f>A483</f>
        <v>electricity price</v>
      </c>
      <c r="B540" s="13" t="str">
        <f>B483</f>
        <v>A$ Real/ kWh</v>
      </c>
      <c r="C540" s="42"/>
      <c r="D540" s="57">
        <f t="shared" ref="D540:AD540" si="338">D483</f>
        <v>0.2</v>
      </c>
      <c r="E540" s="57">
        <f t="shared" si="338"/>
        <v>0.2</v>
      </c>
      <c r="F540" s="57">
        <f t="shared" si="338"/>
        <v>0.2</v>
      </c>
      <c r="G540" s="57">
        <f t="shared" si="338"/>
        <v>0.2</v>
      </c>
      <c r="H540" s="57">
        <f t="shared" si="338"/>
        <v>0.2</v>
      </c>
      <c r="I540" s="57">
        <f t="shared" si="338"/>
        <v>0.2</v>
      </c>
      <c r="J540" s="57">
        <f t="shared" si="338"/>
        <v>0.2</v>
      </c>
      <c r="K540" s="57">
        <f t="shared" si="338"/>
        <v>0.2</v>
      </c>
      <c r="L540" s="57">
        <f t="shared" si="338"/>
        <v>0.2</v>
      </c>
      <c r="M540" s="57">
        <f t="shared" si="338"/>
        <v>0.2</v>
      </c>
      <c r="N540" s="57">
        <f t="shared" si="338"/>
        <v>0.2</v>
      </c>
      <c r="O540" s="57">
        <f t="shared" si="338"/>
        <v>0.2</v>
      </c>
      <c r="P540" s="57">
        <f t="shared" si="338"/>
        <v>0.2</v>
      </c>
      <c r="Q540" s="57">
        <f t="shared" si="338"/>
        <v>0.2</v>
      </c>
      <c r="R540" s="57">
        <f t="shared" si="338"/>
        <v>0.2</v>
      </c>
      <c r="S540" s="57">
        <f t="shared" si="338"/>
        <v>0.2</v>
      </c>
      <c r="T540" s="57">
        <f t="shared" si="338"/>
        <v>0.2</v>
      </c>
      <c r="U540" s="57">
        <f t="shared" si="338"/>
        <v>0.2</v>
      </c>
      <c r="V540" s="57">
        <f t="shared" si="338"/>
        <v>0.2</v>
      </c>
      <c r="W540" s="57">
        <f t="shared" si="338"/>
        <v>0.2</v>
      </c>
      <c r="X540" s="57">
        <f t="shared" si="338"/>
        <v>0.2</v>
      </c>
      <c r="Y540" s="57">
        <f t="shared" si="338"/>
        <v>0.2</v>
      </c>
      <c r="Z540" s="57">
        <f t="shared" si="338"/>
        <v>0.2</v>
      </c>
      <c r="AA540" s="57">
        <f t="shared" si="338"/>
        <v>0.2</v>
      </c>
      <c r="AB540" s="57">
        <f t="shared" si="338"/>
        <v>0.2</v>
      </c>
      <c r="AC540" s="57">
        <f t="shared" si="338"/>
        <v>0.2</v>
      </c>
      <c r="AD540" s="57">
        <f t="shared" si="338"/>
        <v>0.2</v>
      </c>
    </row>
    <row r="541" spans="1:30" s="45" customFormat="1" outlineLevel="1">
      <c r="A541" s="45" t="str">
        <f>A537</f>
        <v>Electricity</v>
      </c>
      <c r="B541" s="13" t="s">
        <v>284</v>
      </c>
      <c r="C541" s="42">
        <f>SUM(D541:AD541)</f>
        <v>94.608000000000033</v>
      </c>
      <c r="D541" s="101">
        <f t="shared" ref="D541:AD541" si="339">D539*365*24*D540/1000000</f>
        <v>3.504</v>
      </c>
      <c r="E541" s="101">
        <f t="shared" si="339"/>
        <v>3.504</v>
      </c>
      <c r="F541" s="101">
        <f t="shared" si="339"/>
        <v>3.504</v>
      </c>
      <c r="G541" s="101">
        <f t="shared" si="339"/>
        <v>3.504</v>
      </c>
      <c r="H541" s="101">
        <f t="shared" si="339"/>
        <v>3.504</v>
      </c>
      <c r="I541" s="101">
        <f t="shared" si="339"/>
        <v>3.504</v>
      </c>
      <c r="J541" s="101">
        <f t="shared" si="339"/>
        <v>3.504</v>
      </c>
      <c r="K541" s="101">
        <f t="shared" si="339"/>
        <v>3.504</v>
      </c>
      <c r="L541" s="101">
        <f t="shared" si="339"/>
        <v>3.504</v>
      </c>
      <c r="M541" s="101">
        <f t="shared" si="339"/>
        <v>3.504</v>
      </c>
      <c r="N541" s="101">
        <f t="shared" si="339"/>
        <v>3.504</v>
      </c>
      <c r="O541" s="101">
        <f t="shared" si="339"/>
        <v>3.504</v>
      </c>
      <c r="P541" s="101">
        <f t="shared" si="339"/>
        <v>3.504</v>
      </c>
      <c r="Q541" s="101">
        <f t="shared" si="339"/>
        <v>3.504</v>
      </c>
      <c r="R541" s="101">
        <f t="shared" si="339"/>
        <v>3.504</v>
      </c>
      <c r="S541" s="101">
        <f t="shared" si="339"/>
        <v>3.504</v>
      </c>
      <c r="T541" s="101">
        <f t="shared" si="339"/>
        <v>3.504</v>
      </c>
      <c r="U541" s="101">
        <f t="shared" si="339"/>
        <v>3.504</v>
      </c>
      <c r="V541" s="101">
        <f t="shared" si="339"/>
        <v>3.504</v>
      </c>
      <c r="W541" s="101">
        <f t="shared" si="339"/>
        <v>3.504</v>
      </c>
      <c r="X541" s="101">
        <f t="shared" si="339"/>
        <v>3.504</v>
      </c>
      <c r="Y541" s="101">
        <f t="shared" si="339"/>
        <v>3.504</v>
      </c>
      <c r="Z541" s="101">
        <f t="shared" si="339"/>
        <v>3.504</v>
      </c>
      <c r="AA541" s="101">
        <f t="shared" si="339"/>
        <v>3.504</v>
      </c>
      <c r="AB541" s="101">
        <f t="shared" si="339"/>
        <v>3.504</v>
      </c>
      <c r="AC541" s="101">
        <f t="shared" si="339"/>
        <v>3.504</v>
      </c>
      <c r="AD541" s="101">
        <f t="shared" si="339"/>
        <v>3.504</v>
      </c>
    </row>
    <row r="542" spans="1:30" s="45" customFormat="1" outlineLevel="1">
      <c r="B542" s="13"/>
      <c r="C542" s="42"/>
      <c r="D542" s="56"/>
      <c r="E542" s="56"/>
      <c r="F542" s="56"/>
      <c r="G542" s="56"/>
      <c r="H542" s="56"/>
      <c r="I542" s="56"/>
      <c r="J542" s="56"/>
      <c r="K542" s="56"/>
      <c r="L542" s="56"/>
      <c r="M542" s="56"/>
      <c r="N542" s="56"/>
      <c r="O542" s="56"/>
      <c r="P542" s="56"/>
      <c r="Q542" s="56"/>
      <c r="R542" s="56"/>
      <c r="S542" s="56"/>
      <c r="T542" s="56"/>
      <c r="U542" s="56"/>
      <c r="V542" s="56"/>
      <c r="W542" s="56"/>
      <c r="X542" s="56"/>
      <c r="Y542" s="56"/>
      <c r="Z542" s="56"/>
      <c r="AA542" s="56"/>
      <c r="AB542" s="56"/>
      <c r="AC542" s="56"/>
      <c r="AD542" s="56"/>
    </row>
    <row r="543" spans="1:30" s="116" customFormat="1" ht="23.4" customHeight="1" outlineLevel="1">
      <c r="A543" s="146" t="s">
        <v>339</v>
      </c>
      <c r="B543" s="114"/>
      <c r="C543" s="40"/>
      <c r="D543" s="115"/>
      <c r="E543" s="115"/>
      <c r="F543" s="115"/>
      <c r="G543" s="115"/>
      <c r="H543" s="115"/>
      <c r="I543" s="115"/>
      <c r="J543" s="115"/>
      <c r="K543" s="115"/>
      <c r="L543" s="115"/>
      <c r="M543" s="115"/>
      <c r="N543" s="115"/>
      <c r="O543" s="115"/>
      <c r="P543" s="115"/>
      <c r="Q543" s="115"/>
      <c r="R543" s="115"/>
      <c r="S543" s="115"/>
      <c r="T543" s="115"/>
      <c r="U543" s="115"/>
      <c r="V543" s="115"/>
      <c r="W543" s="115"/>
      <c r="X543" s="115"/>
      <c r="Y543" s="115"/>
      <c r="Z543" s="115"/>
      <c r="AA543" s="115"/>
      <c r="AB543" s="115"/>
      <c r="AC543" s="115"/>
      <c r="AD543" s="115"/>
    </row>
    <row r="544" spans="1:30" s="62" customFormat="1" outlineLevel="1">
      <c r="A544" s="13" t="s">
        <v>563</v>
      </c>
      <c r="B544" s="60"/>
      <c r="C544" s="42"/>
      <c r="D544" s="61"/>
      <c r="E544" s="61"/>
      <c r="F544" s="61"/>
      <c r="G544" s="61"/>
      <c r="H544" s="61"/>
      <c r="I544" s="61"/>
      <c r="J544" s="61"/>
      <c r="K544" s="61"/>
      <c r="L544" s="61"/>
      <c r="M544" s="61"/>
      <c r="N544" s="61"/>
      <c r="O544" s="61"/>
      <c r="P544" s="61"/>
      <c r="Q544" s="61"/>
      <c r="R544" s="61"/>
      <c r="S544" s="61"/>
      <c r="T544" s="61"/>
      <c r="U544" s="61"/>
      <c r="V544" s="61"/>
      <c r="W544" s="61"/>
      <c r="X544" s="61"/>
      <c r="Y544" s="61"/>
      <c r="Z544" s="61"/>
      <c r="AA544" s="61"/>
      <c r="AB544" s="61"/>
      <c r="AC544" s="61"/>
      <c r="AD544" s="61"/>
    </row>
    <row r="545" spans="1:30" outlineLevel="1">
      <c r="A545" s="214" t="s">
        <v>182</v>
      </c>
      <c r="B545" s="214" t="s">
        <v>284</v>
      </c>
      <c r="C545" s="42"/>
      <c r="D545" s="292">
        <v>0.5</v>
      </c>
      <c r="E545" s="292">
        <f t="shared" ref="E545:AD545" si="340">D545</f>
        <v>0.5</v>
      </c>
      <c r="F545" s="292">
        <f t="shared" si="340"/>
        <v>0.5</v>
      </c>
      <c r="G545" s="292">
        <f t="shared" si="340"/>
        <v>0.5</v>
      </c>
      <c r="H545" s="292">
        <f t="shared" si="340"/>
        <v>0.5</v>
      </c>
      <c r="I545" s="292">
        <f t="shared" si="340"/>
        <v>0.5</v>
      </c>
      <c r="J545" s="292">
        <f t="shared" si="340"/>
        <v>0.5</v>
      </c>
      <c r="K545" s="292">
        <f t="shared" si="340"/>
        <v>0.5</v>
      </c>
      <c r="L545" s="292">
        <f t="shared" si="340"/>
        <v>0.5</v>
      </c>
      <c r="M545" s="292">
        <f t="shared" si="340"/>
        <v>0.5</v>
      </c>
      <c r="N545" s="292">
        <f t="shared" si="340"/>
        <v>0.5</v>
      </c>
      <c r="O545" s="292">
        <f t="shared" si="340"/>
        <v>0.5</v>
      </c>
      <c r="P545" s="292">
        <f t="shared" si="340"/>
        <v>0.5</v>
      </c>
      <c r="Q545" s="292">
        <f t="shared" si="340"/>
        <v>0.5</v>
      </c>
      <c r="R545" s="292">
        <f t="shared" si="340"/>
        <v>0.5</v>
      </c>
      <c r="S545" s="292">
        <f t="shared" si="340"/>
        <v>0.5</v>
      </c>
      <c r="T545" s="292">
        <f t="shared" si="340"/>
        <v>0.5</v>
      </c>
      <c r="U545" s="292">
        <f t="shared" si="340"/>
        <v>0.5</v>
      </c>
      <c r="V545" s="292">
        <f t="shared" si="340"/>
        <v>0.5</v>
      </c>
      <c r="W545" s="292">
        <f t="shared" si="340"/>
        <v>0.5</v>
      </c>
      <c r="X545" s="292">
        <f t="shared" si="340"/>
        <v>0.5</v>
      </c>
      <c r="Y545" s="292">
        <f t="shared" si="340"/>
        <v>0.5</v>
      </c>
      <c r="Z545" s="292">
        <f t="shared" si="340"/>
        <v>0.5</v>
      </c>
      <c r="AA545" s="292">
        <f t="shared" si="340"/>
        <v>0.5</v>
      </c>
      <c r="AB545" s="292">
        <f t="shared" si="340"/>
        <v>0.5</v>
      </c>
      <c r="AC545" s="292">
        <f t="shared" si="340"/>
        <v>0.5</v>
      </c>
      <c r="AD545" s="292">
        <f t="shared" si="340"/>
        <v>0.5</v>
      </c>
    </row>
    <row r="546" spans="1:30" outlineLevel="1">
      <c r="A546" s="214" t="s">
        <v>338</v>
      </c>
      <c r="B546" s="214" t="s">
        <v>284</v>
      </c>
      <c r="C546" s="42"/>
      <c r="D546" s="292">
        <v>0.8</v>
      </c>
      <c r="E546" s="292">
        <f t="shared" ref="E546:AD546" si="341">D546</f>
        <v>0.8</v>
      </c>
      <c r="F546" s="292">
        <f t="shared" si="341"/>
        <v>0.8</v>
      </c>
      <c r="G546" s="292">
        <f t="shared" si="341"/>
        <v>0.8</v>
      </c>
      <c r="H546" s="292">
        <f t="shared" si="341"/>
        <v>0.8</v>
      </c>
      <c r="I546" s="292">
        <f t="shared" si="341"/>
        <v>0.8</v>
      </c>
      <c r="J546" s="292">
        <f t="shared" si="341"/>
        <v>0.8</v>
      </c>
      <c r="K546" s="292">
        <f t="shared" si="341"/>
        <v>0.8</v>
      </c>
      <c r="L546" s="292">
        <f t="shared" si="341"/>
        <v>0.8</v>
      </c>
      <c r="M546" s="292">
        <f t="shared" si="341"/>
        <v>0.8</v>
      </c>
      <c r="N546" s="292">
        <f t="shared" si="341"/>
        <v>0.8</v>
      </c>
      <c r="O546" s="292">
        <f t="shared" si="341"/>
        <v>0.8</v>
      </c>
      <c r="P546" s="292">
        <f t="shared" si="341"/>
        <v>0.8</v>
      </c>
      <c r="Q546" s="292">
        <f t="shared" si="341"/>
        <v>0.8</v>
      </c>
      <c r="R546" s="292">
        <f t="shared" si="341"/>
        <v>0.8</v>
      </c>
      <c r="S546" s="292">
        <f t="shared" si="341"/>
        <v>0.8</v>
      </c>
      <c r="T546" s="292">
        <f t="shared" si="341"/>
        <v>0.8</v>
      </c>
      <c r="U546" s="292">
        <f t="shared" si="341"/>
        <v>0.8</v>
      </c>
      <c r="V546" s="292">
        <f t="shared" si="341"/>
        <v>0.8</v>
      </c>
      <c r="W546" s="292">
        <f t="shared" si="341"/>
        <v>0.8</v>
      </c>
      <c r="X546" s="292">
        <f t="shared" si="341"/>
        <v>0.8</v>
      </c>
      <c r="Y546" s="292">
        <f t="shared" si="341"/>
        <v>0.8</v>
      </c>
      <c r="Z546" s="292">
        <f t="shared" si="341"/>
        <v>0.8</v>
      </c>
      <c r="AA546" s="292">
        <f t="shared" si="341"/>
        <v>0.8</v>
      </c>
      <c r="AB546" s="292">
        <f t="shared" si="341"/>
        <v>0.8</v>
      </c>
      <c r="AC546" s="292">
        <f t="shared" si="341"/>
        <v>0.8</v>
      </c>
      <c r="AD546" s="292">
        <f t="shared" si="341"/>
        <v>0.8</v>
      </c>
    </row>
    <row r="547" spans="1:30" outlineLevel="1">
      <c r="A547" s="214" t="s">
        <v>335</v>
      </c>
      <c r="B547" s="214" t="s">
        <v>284</v>
      </c>
      <c r="C547" s="42"/>
      <c r="D547" s="292">
        <v>0.3</v>
      </c>
      <c r="E547" s="292">
        <f t="shared" ref="E547:AD547" si="342">D547</f>
        <v>0.3</v>
      </c>
      <c r="F547" s="292">
        <f t="shared" si="342"/>
        <v>0.3</v>
      </c>
      <c r="G547" s="292">
        <f t="shared" si="342"/>
        <v>0.3</v>
      </c>
      <c r="H547" s="292">
        <f t="shared" si="342"/>
        <v>0.3</v>
      </c>
      <c r="I547" s="292">
        <f t="shared" si="342"/>
        <v>0.3</v>
      </c>
      <c r="J547" s="292">
        <f t="shared" si="342"/>
        <v>0.3</v>
      </c>
      <c r="K547" s="292">
        <f t="shared" si="342"/>
        <v>0.3</v>
      </c>
      <c r="L547" s="292">
        <f t="shared" si="342"/>
        <v>0.3</v>
      </c>
      <c r="M547" s="292">
        <f t="shared" si="342"/>
        <v>0.3</v>
      </c>
      <c r="N547" s="292">
        <f t="shared" si="342"/>
        <v>0.3</v>
      </c>
      <c r="O547" s="292">
        <f t="shared" si="342"/>
        <v>0.3</v>
      </c>
      <c r="P547" s="292">
        <f t="shared" si="342"/>
        <v>0.3</v>
      </c>
      <c r="Q547" s="292">
        <f t="shared" si="342"/>
        <v>0.3</v>
      </c>
      <c r="R547" s="292">
        <f t="shared" si="342"/>
        <v>0.3</v>
      </c>
      <c r="S547" s="292">
        <f t="shared" si="342"/>
        <v>0.3</v>
      </c>
      <c r="T547" s="292">
        <f t="shared" si="342"/>
        <v>0.3</v>
      </c>
      <c r="U547" s="292">
        <f t="shared" si="342"/>
        <v>0.3</v>
      </c>
      <c r="V547" s="292">
        <f t="shared" si="342"/>
        <v>0.3</v>
      </c>
      <c r="W547" s="292">
        <f t="shared" si="342"/>
        <v>0.3</v>
      </c>
      <c r="X547" s="292">
        <f t="shared" si="342"/>
        <v>0.3</v>
      </c>
      <c r="Y547" s="292">
        <f t="shared" si="342"/>
        <v>0.3</v>
      </c>
      <c r="Z547" s="292">
        <f t="shared" si="342"/>
        <v>0.3</v>
      </c>
      <c r="AA547" s="292">
        <f t="shared" si="342"/>
        <v>0.3</v>
      </c>
      <c r="AB547" s="292">
        <f t="shared" si="342"/>
        <v>0.3</v>
      </c>
      <c r="AC547" s="292">
        <f t="shared" si="342"/>
        <v>0.3</v>
      </c>
      <c r="AD547" s="292">
        <f t="shared" si="342"/>
        <v>0.3</v>
      </c>
    </row>
    <row r="548" spans="1:30" outlineLevel="1">
      <c r="A548" s="214" t="s">
        <v>336</v>
      </c>
      <c r="B548" s="214" t="s">
        <v>284</v>
      </c>
      <c r="C548" s="42"/>
      <c r="D548" s="292">
        <v>0.15</v>
      </c>
      <c r="E548" s="292">
        <f t="shared" ref="E548:AD548" si="343">D548</f>
        <v>0.15</v>
      </c>
      <c r="F548" s="292">
        <f t="shared" si="343"/>
        <v>0.15</v>
      </c>
      <c r="G548" s="292">
        <f t="shared" si="343"/>
        <v>0.15</v>
      </c>
      <c r="H548" s="292">
        <f t="shared" si="343"/>
        <v>0.15</v>
      </c>
      <c r="I548" s="292">
        <f t="shared" si="343"/>
        <v>0.15</v>
      </c>
      <c r="J548" s="292">
        <f t="shared" si="343"/>
        <v>0.15</v>
      </c>
      <c r="K548" s="292">
        <f t="shared" si="343"/>
        <v>0.15</v>
      </c>
      <c r="L548" s="292">
        <f t="shared" si="343"/>
        <v>0.15</v>
      </c>
      <c r="M548" s="292">
        <f t="shared" si="343"/>
        <v>0.15</v>
      </c>
      <c r="N548" s="292">
        <f t="shared" si="343"/>
        <v>0.15</v>
      </c>
      <c r="O548" s="292">
        <f t="shared" si="343"/>
        <v>0.15</v>
      </c>
      <c r="P548" s="292">
        <f t="shared" si="343"/>
        <v>0.15</v>
      </c>
      <c r="Q548" s="292">
        <f t="shared" si="343"/>
        <v>0.15</v>
      </c>
      <c r="R548" s="292">
        <f t="shared" si="343"/>
        <v>0.15</v>
      </c>
      <c r="S548" s="292">
        <f t="shared" si="343"/>
        <v>0.15</v>
      </c>
      <c r="T548" s="292">
        <f t="shared" si="343"/>
        <v>0.15</v>
      </c>
      <c r="U548" s="292">
        <f t="shared" si="343"/>
        <v>0.15</v>
      </c>
      <c r="V548" s="292">
        <f t="shared" si="343"/>
        <v>0.15</v>
      </c>
      <c r="W548" s="292">
        <f t="shared" si="343"/>
        <v>0.15</v>
      </c>
      <c r="X548" s="292">
        <f t="shared" si="343"/>
        <v>0.15</v>
      </c>
      <c r="Y548" s="292">
        <f t="shared" si="343"/>
        <v>0.15</v>
      </c>
      <c r="Z548" s="292">
        <f t="shared" si="343"/>
        <v>0.15</v>
      </c>
      <c r="AA548" s="292">
        <f t="shared" si="343"/>
        <v>0.15</v>
      </c>
      <c r="AB548" s="292">
        <f t="shared" si="343"/>
        <v>0.15</v>
      </c>
      <c r="AC548" s="292">
        <f t="shared" si="343"/>
        <v>0.15</v>
      </c>
      <c r="AD548" s="292">
        <f t="shared" si="343"/>
        <v>0.15</v>
      </c>
    </row>
    <row r="549" spans="1:30" outlineLevel="1">
      <c r="A549" s="214" t="s">
        <v>185</v>
      </c>
      <c r="B549" s="214" t="s">
        <v>284</v>
      </c>
      <c r="C549" s="42"/>
      <c r="D549" s="292">
        <v>0.3</v>
      </c>
      <c r="E549" s="292">
        <f t="shared" ref="E549:AD549" si="344">D549</f>
        <v>0.3</v>
      </c>
      <c r="F549" s="292">
        <f t="shared" si="344"/>
        <v>0.3</v>
      </c>
      <c r="G549" s="292">
        <f t="shared" si="344"/>
        <v>0.3</v>
      </c>
      <c r="H549" s="292">
        <f t="shared" si="344"/>
        <v>0.3</v>
      </c>
      <c r="I549" s="292">
        <f t="shared" si="344"/>
        <v>0.3</v>
      </c>
      <c r="J549" s="292">
        <f t="shared" si="344"/>
        <v>0.3</v>
      </c>
      <c r="K549" s="292">
        <f t="shared" si="344"/>
        <v>0.3</v>
      </c>
      <c r="L549" s="292">
        <f t="shared" si="344"/>
        <v>0.3</v>
      </c>
      <c r="M549" s="292">
        <f t="shared" si="344"/>
        <v>0.3</v>
      </c>
      <c r="N549" s="292">
        <f t="shared" si="344"/>
        <v>0.3</v>
      </c>
      <c r="O549" s="292">
        <f t="shared" si="344"/>
        <v>0.3</v>
      </c>
      <c r="P549" s="292">
        <f t="shared" si="344"/>
        <v>0.3</v>
      </c>
      <c r="Q549" s="292">
        <f t="shared" si="344"/>
        <v>0.3</v>
      </c>
      <c r="R549" s="292">
        <f t="shared" si="344"/>
        <v>0.3</v>
      </c>
      <c r="S549" s="292">
        <f t="shared" si="344"/>
        <v>0.3</v>
      </c>
      <c r="T549" s="292">
        <f t="shared" si="344"/>
        <v>0.3</v>
      </c>
      <c r="U549" s="292">
        <f t="shared" si="344"/>
        <v>0.3</v>
      </c>
      <c r="V549" s="292">
        <f t="shared" si="344"/>
        <v>0.3</v>
      </c>
      <c r="W549" s="292">
        <f t="shared" si="344"/>
        <v>0.3</v>
      </c>
      <c r="X549" s="292">
        <f t="shared" si="344"/>
        <v>0.3</v>
      </c>
      <c r="Y549" s="292">
        <f t="shared" si="344"/>
        <v>0.3</v>
      </c>
      <c r="Z549" s="292">
        <f t="shared" si="344"/>
        <v>0.3</v>
      </c>
      <c r="AA549" s="292">
        <f t="shared" si="344"/>
        <v>0.3</v>
      </c>
      <c r="AB549" s="292">
        <f t="shared" si="344"/>
        <v>0.3</v>
      </c>
      <c r="AC549" s="292">
        <f t="shared" si="344"/>
        <v>0.3</v>
      </c>
      <c r="AD549" s="292">
        <f t="shared" si="344"/>
        <v>0.3</v>
      </c>
    </row>
    <row r="550" spans="1:30" outlineLevel="1">
      <c r="A550" s="214" t="s">
        <v>337</v>
      </c>
      <c r="B550" s="214" t="s">
        <v>284</v>
      </c>
      <c r="C550" s="42"/>
      <c r="D550" s="292">
        <v>0.3</v>
      </c>
      <c r="E550" s="292">
        <f t="shared" ref="E550:AD550" si="345">D550</f>
        <v>0.3</v>
      </c>
      <c r="F550" s="292">
        <f t="shared" si="345"/>
        <v>0.3</v>
      </c>
      <c r="G550" s="292">
        <f t="shared" si="345"/>
        <v>0.3</v>
      </c>
      <c r="H550" s="292">
        <f t="shared" si="345"/>
        <v>0.3</v>
      </c>
      <c r="I550" s="292">
        <f t="shared" si="345"/>
        <v>0.3</v>
      </c>
      <c r="J550" s="292">
        <f t="shared" si="345"/>
        <v>0.3</v>
      </c>
      <c r="K550" s="292">
        <f t="shared" si="345"/>
        <v>0.3</v>
      </c>
      <c r="L550" s="292">
        <f t="shared" si="345"/>
        <v>0.3</v>
      </c>
      <c r="M550" s="292">
        <f t="shared" si="345"/>
        <v>0.3</v>
      </c>
      <c r="N550" s="292">
        <f t="shared" si="345"/>
        <v>0.3</v>
      </c>
      <c r="O550" s="292">
        <f t="shared" si="345"/>
        <v>0.3</v>
      </c>
      <c r="P550" s="292">
        <f t="shared" si="345"/>
        <v>0.3</v>
      </c>
      <c r="Q550" s="292">
        <f t="shared" si="345"/>
        <v>0.3</v>
      </c>
      <c r="R550" s="292">
        <f t="shared" si="345"/>
        <v>0.3</v>
      </c>
      <c r="S550" s="292">
        <f t="shared" si="345"/>
        <v>0.3</v>
      </c>
      <c r="T550" s="292">
        <f t="shared" si="345"/>
        <v>0.3</v>
      </c>
      <c r="U550" s="292">
        <f t="shared" si="345"/>
        <v>0.3</v>
      </c>
      <c r="V550" s="292">
        <f t="shared" si="345"/>
        <v>0.3</v>
      </c>
      <c r="W550" s="292">
        <f t="shared" si="345"/>
        <v>0.3</v>
      </c>
      <c r="X550" s="292">
        <f t="shared" si="345"/>
        <v>0.3</v>
      </c>
      <c r="Y550" s="292">
        <f t="shared" si="345"/>
        <v>0.3</v>
      </c>
      <c r="Z550" s="292">
        <f t="shared" si="345"/>
        <v>0.3</v>
      </c>
      <c r="AA550" s="292">
        <f t="shared" si="345"/>
        <v>0.3</v>
      </c>
      <c r="AB550" s="292">
        <f t="shared" si="345"/>
        <v>0.3</v>
      </c>
      <c r="AC550" s="292">
        <f t="shared" si="345"/>
        <v>0.3</v>
      </c>
      <c r="AD550" s="292">
        <f t="shared" si="345"/>
        <v>0.3</v>
      </c>
    </row>
    <row r="551" spans="1:30" s="45" customFormat="1" outlineLevel="1">
      <c r="A551" s="45" t="str">
        <f>A543</f>
        <v>Office</v>
      </c>
      <c r="B551" s="13" t="s">
        <v>284</v>
      </c>
      <c r="C551" s="42">
        <f>SUM(D551:AD551)</f>
        <v>63.450000000000024</v>
      </c>
      <c r="D551" s="101">
        <f t="shared" ref="D551:AD551" si="346">SUM(D545:D550)</f>
        <v>2.3499999999999996</v>
      </c>
      <c r="E551" s="101">
        <f t="shared" si="346"/>
        <v>2.3499999999999996</v>
      </c>
      <c r="F551" s="101">
        <f t="shared" si="346"/>
        <v>2.3499999999999996</v>
      </c>
      <c r="G551" s="101">
        <f t="shared" si="346"/>
        <v>2.3499999999999996</v>
      </c>
      <c r="H551" s="101">
        <f t="shared" si="346"/>
        <v>2.3499999999999996</v>
      </c>
      <c r="I551" s="101">
        <f t="shared" si="346"/>
        <v>2.3499999999999996</v>
      </c>
      <c r="J551" s="101">
        <f t="shared" si="346"/>
        <v>2.3499999999999996</v>
      </c>
      <c r="K551" s="101">
        <f t="shared" si="346"/>
        <v>2.3499999999999996</v>
      </c>
      <c r="L551" s="101">
        <f t="shared" si="346"/>
        <v>2.3499999999999996</v>
      </c>
      <c r="M551" s="101">
        <f t="shared" si="346"/>
        <v>2.3499999999999996</v>
      </c>
      <c r="N551" s="101">
        <f t="shared" si="346"/>
        <v>2.3499999999999996</v>
      </c>
      <c r="O551" s="101">
        <f t="shared" si="346"/>
        <v>2.3499999999999996</v>
      </c>
      <c r="P551" s="101">
        <f t="shared" si="346"/>
        <v>2.3499999999999996</v>
      </c>
      <c r="Q551" s="101">
        <f t="shared" si="346"/>
        <v>2.3499999999999996</v>
      </c>
      <c r="R551" s="101">
        <f t="shared" si="346"/>
        <v>2.3499999999999996</v>
      </c>
      <c r="S551" s="101">
        <f t="shared" si="346"/>
        <v>2.3499999999999996</v>
      </c>
      <c r="T551" s="101">
        <f t="shared" si="346"/>
        <v>2.3499999999999996</v>
      </c>
      <c r="U551" s="101">
        <f t="shared" si="346"/>
        <v>2.3499999999999996</v>
      </c>
      <c r="V551" s="101">
        <f t="shared" si="346"/>
        <v>2.3499999999999996</v>
      </c>
      <c r="W551" s="101">
        <f t="shared" si="346"/>
        <v>2.3499999999999996</v>
      </c>
      <c r="X551" s="101">
        <f t="shared" si="346"/>
        <v>2.3499999999999996</v>
      </c>
      <c r="Y551" s="101">
        <f t="shared" si="346"/>
        <v>2.3499999999999996</v>
      </c>
      <c r="Z551" s="101">
        <f t="shared" si="346"/>
        <v>2.3499999999999996</v>
      </c>
      <c r="AA551" s="101">
        <f t="shared" si="346"/>
        <v>2.3499999999999996</v>
      </c>
      <c r="AB551" s="101">
        <f t="shared" si="346"/>
        <v>2.3499999999999996</v>
      </c>
      <c r="AC551" s="101">
        <f t="shared" si="346"/>
        <v>2.3499999999999996</v>
      </c>
      <c r="AD551" s="101">
        <f t="shared" si="346"/>
        <v>2.3499999999999996</v>
      </c>
    </row>
    <row r="552" spans="1:30" s="45" customFormat="1" outlineLevel="1">
      <c r="B552" s="13"/>
      <c r="C552" s="42"/>
      <c r="D552" s="56"/>
      <c r="E552" s="56"/>
      <c r="F552" s="56"/>
      <c r="G552" s="56"/>
      <c r="H552" s="56"/>
      <c r="I552" s="56"/>
      <c r="J552" s="56"/>
      <c r="K552" s="56"/>
      <c r="L552" s="56"/>
      <c r="M552" s="56"/>
      <c r="N552" s="56"/>
      <c r="O552" s="56"/>
      <c r="P552" s="56"/>
      <c r="Q552" s="56"/>
      <c r="R552" s="56"/>
      <c r="S552" s="56"/>
      <c r="T552" s="56"/>
      <c r="U552" s="56"/>
      <c r="V552" s="56"/>
      <c r="W552" s="56"/>
      <c r="X552" s="56"/>
      <c r="Y552" s="56"/>
      <c r="Z552" s="56"/>
      <c r="AA552" s="56"/>
      <c r="AB552" s="56"/>
      <c r="AC552" s="56"/>
      <c r="AD552" s="56"/>
    </row>
    <row r="553" spans="1:30" s="116" customFormat="1" ht="23.4" customHeight="1" outlineLevel="1">
      <c r="A553" s="146" t="s">
        <v>343</v>
      </c>
      <c r="B553" s="114"/>
      <c r="C553" s="40"/>
      <c r="D553" s="115"/>
      <c r="E553" s="115"/>
      <c r="F553" s="115"/>
      <c r="G553" s="115"/>
      <c r="H553" s="115"/>
      <c r="I553" s="115"/>
      <c r="J553" s="115"/>
      <c r="K553" s="115"/>
      <c r="L553" s="115"/>
      <c r="M553" s="115"/>
      <c r="N553" s="115"/>
      <c r="O553" s="115"/>
      <c r="P553" s="115"/>
      <c r="Q553" s="115"/>
      <c r="R553" s="115"/>
      <c r="S553" s="115"/>
      <c r="T553" s="115"/>
      <c r="U553" s="115"/>
      <c r="V553" s="115"/>
      <c r="W553" s="115"/>
      <c r="X553" s="115"/>
      <c r="Y553" s="115"/>
      <c r="Z553" s="115"/>
      <c r="AA553" s="115"/>
      <c r="AB553" s="115"/>
      <c r="AC553" s="115"/>
      <c r="AD553" s="115"/>
    </row>
    <row r="554" spans="1:30" s="62" customFormat="1" outlineLevel="1">
      <c r="A554" s="13" t="s">
        <v>563</v>
      </c>
      <c r="B554" s="60"/>
      <c r="C554" s="42"/>
      <c r="D554" s="61"/>
      <c r="E554" s="61"/>
      <c r="F554" s="61"/>
      <c r="G554" s="61"/>
      <c r="H554" s="61"/>
      <c r="I554" s="61"/>
      <c r="J554" s="61"/>
      <c r="K554" s="61"/>
      <c r="L554" s="61"/>
      <c r="M554" s="61"/>
      <c r="N554" s="61"/>
      <c r="O554" s="61"/>
      <c r="P554" s="61"/>
      <c r="Q554" s="61"/>
      <c r="R554" s="61"/>
      <c r="S554" s="61"/>
      <c r="T554" s="61"/>
      <c r="U554" s="61"/>
      <c r="V554" s="61"/>
      <c r="W554" s="61"/>
      <c r="X554" s="61"/>
      <c r="Y554" s="61"/>
      <c r="Z554" s="61"/>
      <c r="AA554" s="61"/>
      <c r="AB554" s="61"/>
      <c r="AC554" s="61"/>
      <c r="AD554" s="61"/>
    </row>
    <row r="555" spans="1:30" outlineLevel="1">
      <c r="A555" s="214" t="s">
        <v>188</v>
      </c>
      <c r="B555" s="214" t="s">
        <v>284</v>
      </c>
      <c r="C555" s="42"/>
      <c r="D555" s="292">
        <v>0.8</v>
      </c>
      <c r="E555" s="292">
        <f t="shared" ref="E555:AD555" si="347">D555</f>
        <v>0.8</v>
      </c>
      <c r="F555" s="292">
        <f t="shared" si="347"/>
        <v>0.8</v>
      </c>
      <c r="G555" s="292">
        <f t="shared" si="347"/>
        <v>0.8</v>
      </c>
      <c r="H555" s="292">
        <f t="shared" si="347"/>
        <v>0.8</v>
      </c>
      <c r="I555" s="292">
        <f t="shared" si="347"/>
        <v>0.8</v>
      </c>
      <c r="J555" s="292">
        <f t="shared" si="347"/>
        <v>0.8</v>
      </c>
      <c r="K555" s="292">
        <f t="shared" si="347"/>
        <v>0.8</v>
      </c>
      <c r="L555" s="292">
        <f t="shared" si="347"/>
        <v>0.8</v>
      </c>
      <c r="M555" s="292">
        <f t="shared" si="347"/>
        <v>0.8</v>
      </c>
      <c r="N555" s="292">
        <f t="shared" si="347"/>
        <v>0.8</v>
      </c>
      <c r="O555" s="292">
        <f t="shared" si="347"/>
        <v>0.8</v>
      </c>
      <c r="P555" s="292">
        <f t="shared" si="347"/>
        <v>0.8</v>
      </c>
      <c r="Q555" s="292">
        <f t="shared" si="347"/>
        <v>0.8</v>
      </c>
      <c r="R555" s="292">
        <f t="shared" si="347"/>
        <v>0.8</v>
      </c>
      <c r="S555" s="292">
        <f t="shared" si="347"/>
        <v>0.8</v>
      </c>
      <c r="T555" s="292">
        <f t="shared" si="347"/>
        <v>0.8</v>
      </c>
      <c r="U555" s="292">
        <f t="shared" si="347"/>
        <v>0.8</v>
      </c>
      <c r="V555" s="292">
        <f t="shared" si="347"/>
        <v>0.8</v>
      </c>
      <c r="W555" s="292">
        <f t="shared" si="347"/>
        <v>0.8</v>
      </c>
      <c r="X555" s="292">
        <f t="shared" si="347"/>
        <v>0.8</v>
      </c>
      <c r="Y555" s="292">
        <f t="shared" si="347"/>
        <v>0.8</v>
      </c>
      <c r="Z555" s="292">
        <f t="shared" si="347"/>
        <v>0.8</v>
      </c>
      <c r="AA555" s="292">
        <f t="shared" si="347"/>
        <v>0.8</v>
      </c>
      <c r="AB555" s="292">
        <f t="shared" si="347"/>
        <v>0.8</v>
      </c>
      <c r="AC555" s="292">
        <f t="shared" si="347"/>
        <v>0.8</v>
      </c>
      <c r="AD555" s="292">
        <f t="shared" si="347"/>
        <v>0.8</v>
      </c>
    </row>
    <row r="556" spans="1:30" outlineLevel="1">
      <c r="A556" s="214" t="s">
        <v>189</v>
      </c>
      <c r="B556" s="214" t="s">
        <v>284</v>
      </c>
      <c r="C556" s="42"/>
      <c r="D556" s="292">
        <v>0.2</v>
      </c>
      <c r="E556" s="292">
        <f t="shared" ref="E556:AD556" si="348">D556</f>
        <v>0.2</v>
      </c>
      <c r="F556" s="292">
        <f t="shared" si="348"/>
        <v>0.2</v>
      </c>
      <c r="G556" s="292">
        <f t="shared" si="348"/>
        <v>0.2</v>
      </c>
      <c r="H556" s="292">
        <f t="shared" si="348"/>
        <v>0.2</v>
      </c>
      <c r="I556" s="292">
        <f t="shared" si="348"/>
        <v>0.2</v>
      </c>
      <c r="J556" s="292">
        <f t="shared" si="348"/>
        <v>0.2</v>
      </c>
      <c r="K556" s="292">
        <f t="shared" si="348"/>
        <v>0.2</v>
      </c>
      <c r="L556" s="292">
        <f t="shared" si="348"/>
        <v>0.2</v>
      </c>
      <c r="M556" s="292">
        <f t="shared" si="348"/>
        <v>0.2</v>
      </c>
      <c r="N556" s="292">
        <f t="shared" si="348"/>
        <v>0.2</v>
      </c>
      <c r="O556" s="292">
        <f t="shared" si="348"/>
        <v>0.2</v>
      </c>
      <c r="P556" s="292">
        <f t="shared" si="348"/>
        <v>0.2</v>
      </c>
      <c r="Q556" s="292">
        <f t="shared" si="348"/>
        <v>0.2</v>
      </c>
      <c r="R556" s="292">
        <f t="shared" si="348"/>
        <v>0.2</v>
      </c>
      <c r="S556" s="292">
        <f t="shared" si="348"/>
        <v>0.2</v>
      </c>
      <c r="T556" s="292">
        <f t="shared" si="348"/>
        <v>0.2</v>
      </c>
      <c r="U556" s="292">
        <f t="shared" si="348"/>
        <v>0.2</v>
      </c>
      <c r="V556" s="292">
        <f t="shared" si="348"/>
        <v>0.2</v>
      </c>
      <c r="W556" s="292">
        <f t="shared" si="348"/>
        <v>0.2</v>
      </c>
      <c r="X556" s="292">
        <f t="shared" si="348"/>
        <v>0.2</v>
      </c>
      <c r="Y556" s="292">
        <f t="shared" si="348"/>
        <v>0.2</v>
      </c>
      <c r="Z556" s="292">
        <f t="shared" si="348"/>
        <v>0.2</v>
      </c>
      <c r="AA556" s="292">
        <f t="shared" si="348"/>
        <v>0.2</v>
      </c>
      <c r="AB556" s="292">
        <f t="shared" si="348"/>
        <v>0.2</v>
      </c>
      <c r="AC556" s="292">
        <f t="shared" si="348"/>
        <v>0.2</v>
      </c>
      <c r="AD556" s="292">
        <f t="shared" si="348"/>
        <v>0.2</v>
      </c>
    </row>
    <row r="557" spans="1:30" outlineLevel="1">
      <c r="A557" s="214" t="s">
        <v>183</v>
      </c>
      <c r="B557" s="214" t="s">
        <v>284</v>
      </c>
      <c r="C557" s="42"/>
      <c r="D557" s="292">
        <v>0.05</v>
      </c>
      <c r="E557" s="292">
        <f t="shared" ref="E557:AD557" si="349">D557</f>
        <v>0.05</v>
      </c>
      <c r="F557" s="292">
        <f t="shared" si="349"/>
        <v>0.05</v>
      </c>
      <c r="G557" s="292">
        <f t="shared" si="349"/>
        <v>0.05</v>
      </c>
      <c r="H557" s="292">
        <f t="shared" si="349"/>
        <v>0.05</v>
      </c>
      <c r="I557" s="292">
        <f t="shared" si="349"/>
        <v>0.05</v>
      </c>
      <c r="J557" s="292">
        <f t="shared" si="349"/>
        <v>0.05</v>
      </c>
      <c r="K557" s="292">
        <f t="shared" si="349"/>
        <v>0.05</v>
      </c>
      <c r="L557" s="292">
        <f t="shared" si="349"/>
        <v>0.05</v>
      </c>
      <c r="M557" s="292">
        <f t="shared" si="349"/>
        <v>0.05</v>
      </c>
      <c r="N557" s="292">
        <f t="shared" si="349"/>
        <v>0.05</v>
      </c>
      <c r="O557" s="292">
        <f t="shared" si="349"/>
        <v>0.05</v>
      </c>
      <c r="P557" s="292">
        <f t="shared" si="349"/>
        <v>0.05</v>
      </c>
      <c r="Q557" s="292">
        <f t="shared" si="349"/>
        <v>0.05</v>
      </c>
      <c r="R557" s="292">
        <f t="shared" si="349"/>
        <v>0.05</v>
      </c>
      <c r="S557" s="292">
        <f t="shared" si="349"/>
        <v>0.05</v>
      </c>
      <c r="T557" s="292">
        <f t="shared" si="349"/>
        <v>0.05</v>
      </c>
      <c r="U557" s="292">
        <f t="shared" si="349"/>
        <v>0.05</v>
      </c>
      <c r="V557" s="292">
        <f t="shared" si="349"/>
        <v>0.05</v>
      </c>
      <c r="W557" s="292">
        <f t="shared" si="349"/>
        <v>0.05</v>
      </c>
      <c r="X557" s="292">
        <f t="shared" si="349"/>
        <v>0.05</v>
      </c>
      <c r="Y557" s="292">
        <f t="shared" si="349"/>
        <v>0.05</v>
      </c>
      <c r="Z557" s="292">
        <f t="shared" si="349"/>
        <v>0.05</v>
      </c>
      <c r="AA557" s="292">
        <f t="shared" si="349"/>
        <v>0.05</v>
      </c>
      <c r="AB557" s="292">
        <f t="shared" si="349"/>
        <v>0.05</v>
      </c>
      <c r="AC557" s="292">
        <f t="shared" si="349"/>
        <v>0.05</v>
      </c>
      <c r="AD557" s="292">
        <f t="shared" si="349"/>
        <v>0.05</v>
      </c>
    </row>
    <row r="558" spans="1:30" outlineLevel="1">
      <c r="A558" s="214" t="s">
        <v>184</v>
      </c>
      <c r="B558" s="214" t="s">
        <v>284</v>
      </c>
      <c r="C558" s="42"/>
      <c r="D558" s="292">
        <v>0.11</v>
      </c>
      <c r="E558" s="292">
        <f t="shared" ref="E558:AD558" si="350">D558</f>
        <v>0.11</v>
      </c>
      <c r="F558" s="292">
        <f t="shared" si="350"/>
        <v>0.11</v>
      </c>
      <c r="G558" s="292">
        <f t="shared" si="350"/>
        <v>0.11</v>
      </c>
      <c r="H558" s="292">
        <f t="shared" si="350"/>
        <v>0.11</v>
      </c>
      <c r="I558" s="292">
        <f t="shared" si="350"/>
        <v>0.11</v>
      </c>
      <c r="J558" s="292">
        <f t="shared" si="350"/>
        <v>0.11</v>
      </c>
      <c r="K558" s="292">
        <f t="shared" si="350"/>
        <v>0.11</v>
      </c>
      <c r="L558" s="292">
        <f t="shared" si="350"/>
        <v>0.11</v>
      </c>
      <c r="M558" s="292">
        <f t="shared" si="350"/>
        <v>0.11</v>
      </c>
      <c r="N558" s="292">
        <f t="shared" si="350"/>
        <v>0.11</v>
      </c>
      <c r="O558" s="292">
        <f t="shared" si="350"/>
        <v>0.11</v>
      </c>
      <c r="P558" s="292">
        <f t="shared" si="350"/>
        <v>0.11</v>
      </c>
      <c r="Q558" s="292">
        <f t="shared" si="350"/>
        <v>0.11</v>
      </c>
      <c r="R558" s="292">
        <f t="shared" si="350"/>
        <v>0.11</v>
      </c>
      <c r="S558" s="292">
        <f t="shared" si="350"/>
        <v>0.11</v>
      </c>
      <c r="T558" s="292">
        <f t="shared" si="350"/>
        <v>0.11</v>
      </c>
      <c r="U558" s="292">
        <f t="shared" si="350"/>
        <v>0.11</v>
      </c>
      <c r="V558" s="292">
        <f t="shared" si="350"/>
        <v>0.11</v>
      </c>
      <c r="W558" s="292">
        <f t="shared" si="350"/>
        <v>0.11</v>
      </c>
      <c r="X558" s="292">
        <f t="shared" si="350"/>
        <v>0.11</v>
      </c>
      <c r="Y558" s="292">
        <f t="shared" si="350"/>
        <v>0.11</v>
      </c>
      <c r="Z558" s="292">
        <f t="shared" si="350"/>
        <v>0.11</v>
      </c>
      <c r="AA558" s="292">
        <f t="shared" si="350"/>
        <v>0.11</v>
      </c>
      <c r="AB558" s="292">
        <f t="shared" si="350"/>
        <v>0.11</v>
      </c>
      <c r="AC558" s="292">
        <f t="shared" si="350"/>
        <v>0.11</v>
      </c>
      <c r="AD558" s="292">
        <f t="shared" si="350"/>
        <v>0.11</v>
      </c>
    </row>
    <row r="559" spans="1:30" s="45" customFormat="1" outlineLevel="1">
      <c r="A559" s="45" t="str">
        <f>A553</f>
        <v>Insurance, Audit &amp; Legal</v>
      </c>
      <c r="B559" s="13" t="s">
        <v>284</v>
      </c>
      <c r="C559" s="42">
        <f>SUM(D559:AD559)</f>
        <v>31.320000000000004</v>
      </c>
      <c r="D559" s="101">
        <f t="shared" ref="D559:AD559" si="351">SUM(D555:D558)</f>
        <v>1.1600000000000001</v>
      </c>
      <c r="E559" s="101">
        <f t="shared" si="351"/>
        <v>1.1600000000000001</v>
      </c>
      <c r="F559" s="101">
        <f t="shared" si="351"/>
        <v>1.1600000000000001</v>
      </c>
      <c r="G559" s="101">
        <f t="shared" si="351"/>
        <v>1.1600000000000001</v>
      </c>
      <c r="H559" s="101">
        <f t="shared" si="351"/>
        <v>1.1600000000000001</v>
      </c>
      <c r="I559" s="101">
        <f t="shared" si="351"/>
        <v>1.1600000000000001</v>
      </c>
      <c r="J559" s="101">
        <f t="shared" si="351"/>
        <v>1.1600000000000001</v>
      </c>
      <c r="K559" s="101">
        <f t="shared" si="351"/>
        <v>1.1600000000000001</v>
      </c>
      <c r="L559" s="101">
        <f t="shared" si="351"/>
        <v>1.1600000000000001</v>
      </c>
      <c r="M559" s="101">
        <f t="shared" si="351"/>
        <v>1.1600000000000001</v>
      </c>
      <c r="N559" s="101">
        <f t="shared" si="351"/>
        <v>1.1600000000000001</v>
      </c>
      <c r="O559" s="101">
        <f t="shared" si="351"/>
        <v>1.1600000000000001</v>
      </c>
      <c r="P559" s="101">
        <f t="shared" si="351"/>
        <v>1.1600000000000001</v>
      </c>
      <c r="Q559" s="101">
        <f t="shared" si="351"/>
        <v>1.1600000000000001</v>
      </c>
      <c r="R559" s="101">
        <f t="shared" si="351"/>
        <v>1.1600000000000001</v>
      </c>
      <c r="S559" s="101">
        <f t="shared" si="351"/>
        <v>1.1600000000000001</v>
      </c>
      <c r="T559" s="101">
        <f t="shared" si="351"/>
        <v>1.1600000000000001</v>
      </c>
      <c r="U559" s="101">
        <f t="shared" si="351"/>
        <v>1.1600000000000001</v>
      </c>
      <c r="V559" s="101">
        <f t="shared" si="351"/>
        <v>1.1600000000000001</v>
      </c>
      <c r="W559" s="101">
        <f t="shared" si="351"/>
        <v>1.1600000000000001</v>
      </c>
      <c r="X559" s="101">
        <f t="shared" si="351"/>
        <v>1.1600000000000001</v>
      </c>
      <c r="Y559" s="101">
        <f t="shared" si="351"/>
        <v>1.1600000000000001</v>
      </c>
      <c r="Z559" s="101">
        <f t="shared" si="351"/>
        <v>1.1600000000000001</v>
      </c>
      <c r="AA559" s="101">
        <f t="shared" si="351"/>
        <v>1.1600000000000001</v>
      </c>
      <c r="AB559" s="101">
        <f t="shared" si="351"/>
        <v>1.1600000000000001</v>
      </c>
      <c r="AC559" s="101">
        <f t="shared" si="351"/>
        <v>1.1600000000000001</v>
      </c>
      <c r="AD559" s="101">
        <f t="shared" si="351"/>
        <v>1.1600000000000001</v>
      </c>
    </row>
    <row r="560" spans="1:30" s="45" customFormat="1" ht="12.65" customHeight="1" outlineLevel="1">
      <c r="B560" s="13"/>
      <c r="C560" s="44"/>
      <c r="D560" s="57"/>
      <c r="E560" s="57"/>
      <c r="F560" s="57"/>
      <c r="G560" s="57"/>
      <c r="H560" s="57"/>
      <c r="I560" s="57"/>
      <c r="J560" s="57"/>
      <c r="K560" s="57"/>
      <c r="L560" s="57"/>
      <c r="M560" s="57"/>
      <c r="N560" s="57"/>
      <c r="O560" s="57"/>
      <c r="P560" s="57"/>
      <c r="Q560" s="57"/>
      <c r="R560" s="57"/>
      <c r="S560" s="57"/>
      <c r="T560" s="57"/>
      <c r="U560" s="57"/>
      <c r="V560" s="57"/>
      <c r="W560" s="57"/>
      <c r="X560" s="57"/>
      <c r="Y560" s="57"/>
      <c r="Z560" s="57"/>
      <c r="AA560" s="57"/>
      <c r="AB560" s="57"/>
      <c r="AC560" s="57"/>
      <c r="AD560" s="57"/>
    </row>
    <row r="561" spans="1:30" s="116" customFormat="1" ht="23.4" customHeight="1" outlineLevel="1">
      <c r="A561" s="146" t="s">
        <v>186</v>
      </c>
      <c r="B561" s="114"/>
      <c r="C561" s="40"/>
      <c r="D561" s="115"/>
      <c r="E561" s="115"/>
      <c r="F561" s="115"/>
      <c r="G561" s="115"/>
      <c r="H561" s="115"/>
      <c r="I561" s="115"/>
      <c r="J561" s="115"/>
      <c r="K561" s="115"/>
      <c r="L561" s="115"/>
      <c r="M561" s="115"/>
      <c r="N561" s="115"/>
      <c r="O561" s="115"/>
      <c r="P561" s="115"/>
      <c r="Q561" s="115"/>
      <c r="R561" s="115"/>
      <c r="S561" s="115"/>
      <c r="T561" s="115"/>
      <c r="U561" s="115"/>
      <c r="V561" s="115"/>
      <c r="W561" s="115"/>
      <c r="X561" s="115"/>
      <c r="Y561" s="115"/>
      <c r="Z561" s="115"/>
      <c r="AA561" s="115"/>
      <c r="AB561" s="115"/>
      <c r="AC561" s="115"/>
      <c r="AD561" s="115"/>
    </row>
    <row r="562" spans="1:30" s="62" customFormat="1" outlineLevel="1">
      <c r="A562" s="13" t="s">
        <v>563</v>
      </c>
      <c r="B562" s="60"/>
      <c r="C562" s="42"/>
      <c r="D562" s="61"/>
      <c r="E562" s="61"/>
      <c r="F562" s="61"/>
      <c r="G562" s="61"/>
      <c r="H562" s="61"/>
      <c r="I562" s="61"/>
      <c r="J562" s="61"/>
      <c r="K562" s="61"/>
      <c r="L562" s="61"/>
      <c r="M562" s="61"/>
      <c r="N562" s="61"/>
      <c r="O562" s="61"/>
      <c r="P562" s="61"/>
      <c r="Q562" s="61"/>
      <c r="R562" s="61"/>
      <c r="S562" s="61"/>
      <c r="T562" s="61"/>
      <c r="U562" s="61"/>
      <c r="V562" s="61"/>
      <c r="W562" s="61"/>
      <c r="X562" s="61"/>
      <c r="Y562" s="61"/>
      <c r="Z562" s="61"/>
      <c r="AA562" s="61"/>
      <c r="AB562" s="61"/>
      <c r="AC562" s="61"/>
      <c r="AD562" s="61"/>
    </row>
    <row r="563" spans="1:30" outlineLevel="1">
      <c r="A563" s="214" t="s">
        <v>341</v>
      </c>
      <c r="B563" s="214" t="s">
        <v>284</v>
      </c>
      <c r="C563" s="42"/>
      <c r="D563" s="292">
        <v>0.18</v>
      </c>
      <c r="E563" s="292">
        <f t="shared" ref="E563:AD563" si="352">D563</f>
        <v>0.18</v>
      </c>
      <c r="F563" s="292">
        <f t="shared" si="352"/>
        <v>0.18</v>
      </c>
      <c r="G563" s="292">
        <f t="shared" si="352"/>
        <v>0.18</v>
      </c>
      <c r="H563" s="292">
        <f t="shared" si="352"/>
        <v>0.18</v>
      </c>
      <c r="I563" s="292">
        <f t="shared" si="352"/>
        <v>0.18</v>
      </c>
      <c r="J563" s="292">
        <f t="shared" si="352"/>
        <v>0.18</v>
      </c>
      <c r="K563" s="292">
        <f t="shared" si="352"/>
        <v>0.18</v>
      </c>
      <c r="L563" s="292">
        <f t="shared" si="352"/>
        <v>0.18</v>
      </c>
      <c r="M563" s="292">
        <f t="shared" si="352"/>
        <v>0.18</v>
      </c>
      <c r="N563" s="292">
        <f t="shared" si="352"/>
        <v>0.18</v>
      </c>
      <c r="O563" s="292">
        <f t="shared" si="352"/>
        <v>0.18</v>
      </c>
      <c r="P563" s="292">
        <f t="shared" si="352"/>
        <v>0.18</v>
      </c>
      <c r="Q563" s="292">
        <f t="shared" si="352"/>
        <v>0.18</v>
      </c>
      <c r="R563" s="292">
        <f t="shared" si="352"/>
        <v>0.18</v>
      </c>
      <c r="S563" s="292">
        <f t="shared" si="352"/>
        <v>0.18</v>
      </c>
      <c r="T563" s="292">
        <f t="shared" si="352"/>
        <v>0.18</v>
      </c>
      <c r="U563" s="292">
        <f t="shared" si="352"/>
        <v>0.18</v>
      </c>
      <c r="V563" s="292">
        <f t="shared" si="352"/>
        <v>0.18</v>
      </c>
      <c r="W563" s="292">
        <f t="shared" si="352"/>
        <v>0.18</v>
      </c>
      <c r="X563" s="292">
        <f t="shared" si="352"/>
        <v>0.18</v>
      </c>
      <c r="Y563" s="292">
        <f t="shared" si="352"/>
        <v>0.18</v>
      </c>
      <c r="Z563" s="292">
        <f t="shared" si="352"/>
        <v>0.18</v>
      </c>
      <c r="AA563" s="292">
        <f t="shared" si="352"/>
        <v>0.18</v>
      </c>
      <c r="AB563" s="292">
        <f t="shared" si="352"/>
        <v>0.18</v>
      </c>
      <c r="AC563" s="292">
        <f t="shared" si="352"/>
        <v>0.18</v>
      </c>
      <c r="AD563" s="292">
        <f t="shared" si="352"/>
        <v>0.18</v>
      </c>
    </row>
    <row r="564" spans="1:30" outlineLevel="1">
      <c r="A564" s="214" t="s">
        <v>344</v>
      </c>
      <c r="B564" s="214" t="s">
        <v>284</v>
      </c>
      <c r="C564" s="42"/>
      <c r="D564" s="292">
        <v>0.42</v>
      </c>
      <c r="E564" s="292">
        <f t="shared" ref="E564:AD564" si="353">D564</f>
        <v>0.42</v>
      </c>
      <c r="F564" s="292">
        <f t="shared" si="353"/>
        <v>0.42</v>
      </c>
      <c r="G564" s="292">
        <f t="shared" si="353"/>
        <v>0.42</v>
      </c>
      <c r="H564" s="292">
        <f t="shared" si="353"/>
        <v>0.42</v>
      </c>
      <c r="I564" s="292">
        <f t="shared" si="353"/>
        <v>0.42</v>
      </c>
      <c r="J564" s="292">
        <f t="shared" si="353"/>
        <v>0.42</v>
      </c>
      <c r="K564" s="292">
        <f t="shared" si="353"/>
        <v>0.42</v>
      </c>
      <c r="L564" s="292">
        <f t="shared" si="353"/>
        <v>0.42</v>
      </c>
      <c r="M564" s="292">
        <f t="shared" si="353"/>
        <v>0.42</v>
      </c>
      <c r="N564" s="292">
        <f t="shared" si="353"/>
        <v>0.42</v>
      </c>
      <c r="O564" s="292">
        <f t="shared" si="353"/>
        <v>0.42</v>
      </c>
      <c r="P564" s="292">
        <f t="shared" si="353"/>
        <v>0.42</v>
      </c>
      <c r="Q564" s="292">
        <f t="shared" si="353"/>
        <v>0.42</v>
      </c>
      <c r="R564" s="292">
        <f t="shared" si="353"/>
        <v>0.42</v>
      </c>
      <c r="S564" s="292">
        <f t="shared" si="353"/>
        <v>0.42</v>
      </c>
      <c r="T564" s="292">
        <f t="shared" si="353"/>
        <v>0.42</v>
      </c>
      <c r="U564" s="292">
        <f t="shared" si="353"/>
        <v>0.42</v>
      </c>
      <c r="V564" s="292">
        <f t="shared" si="353"/>
        <v>0.42</v>
      </c>
      <c r="W564" s="292">
        <f t="shared" si="353"/>
        <v>0.42</v>
      </c>
      <c r="X564" s="292">
        <f t="shared" si="353"/>
        <v>0.42</v>
      </c>
      <c r="Y564" s="292">
        <f t="shared" si="353"/>
        <v>0.42</v>
      </c>
      <c r="Z564" s="292">
        <f t="shared" si="353"/>
        <v>0.42</v>
      </c>
      <c r="AA564" s="292">
        <f t="shared" si="353"/>
        <v>0.42</v>
      </c>
      <c r="AB564" s="292">
        <f t="shared" si="353"/>
        <v>0.42</v>
      </c>
      <c r="AC564" s="292">
        <f t="shared" si="353"/>
        <v>0.42</v>
      </c>
      <c r="AD564" s="292">
        <f t="shared" si="353"/>
        <v>0.42</v>
      </c>
    </row>
    <row r="565" spans="1:30" outlineLevel="1">
      <c r="A565" s="214" t="s">
        <v>187</v>
      </c>
      <c r="B565" s="214" t="s">
        <v>284</v>
      </c>
      <c r="C565" s="42"/>
      <c r="D565" s="292">
        <v>0.25</v>
      </c>
      <c r="E565" s="292">
        <f t="shared" ref="E565:AD565" si="354">D565</f>
        <v>0.25</v>
      </c>
      <c r="F565" s="292">
        <f t="shared" si="354"/>
        <v>0.25</v>
      </c>
      <c r="G565" s="292">
        <f t="shared" si="354"/>
        <v>0.25</v>
      </c>
      <c r="H565" s="292">
        <f t="shared" si="354"/>
        <v>0.25</v>
      </c>
      <c r="I565" s="292">
        <f t="shared" si="354"/>
        <v>0.25</v>
      </c>
      <c r="J565" s="292">
        <f t="shared" si="354"/>
        <v>0.25</v>
      </c>
      <c r="K565" s="292">
        <f t="shared" si="354"/>
        <v>0.25</v>
      </c>
      <c r="L565" s="292">
        <f t="shared" si="354"/>
        <v>0.25</v>
      </c>
      <c r="M565" s="292">
        <f t="shared" si="354"/>
        <v>0.25</v>
      </c>
      <c r="N565" s="292">
        <f t="shared" si="354"/>
        <v>0.25</v>
      </c>
      <c r="O565" s="292">
        <f t="shared" si="354"/>
        <v>0.25</v>
      </c>
      <c r="P565" s="292">
        <f t="shared" si="354"/>
        <v>0.25</v>
      </c>
      <c r="Q565" s="292">
        <f t="shared" si="354"/>
        <v>0.25</v>
      </c>
      <c r="R565" s="292">
        <f t="shared" si="354"/>
        <v>0.25</v>
      </c>
      <c r="S565" s="292">
        <f t="shared" si="354"/>
        <v>0.25</v>
      </c>
      <c r="T565" s="292">
        <f t="shared" si="354"/>
        <v>0.25</v>
      </c>
      <c r="U565" s="292">
        <f t="shared" si="354"/>
        <v>0.25</v>
      </c>
      <c r="V565" s="292">
        <f t="shared" si="354"/>
        <v>0.25</v>
      </c>
      <c r="W565" s="292">
        <f t="shared" si="354"/>
        <v>0.25</v>
      </c>
      <c r="X565" s="292">
        <f t="shared" si="354"/>
        <v>0.25</v>
      </c>
      <c r="Y565" s="292">
        <f t="shared" si="354"/>
        <v>0.25</v>
      </c>
      <c r="Z565" s="292">
        <f t="shared" si="354"/>
        <v>0.25</v>
      </c>
      <c r="AA565" s="292">
        <f t="shared" si="354"/>
        <v>0.25</v>
      </c>
      <c r="AB565" s="292">
        <f t="shared" si="354"/>
        <v>0.25</v>
      </c>
      <c r="AC565" s="292">
        <f t="shared" si="354"/>
        <v>0.25</v>
      </c>
      <c r="AD565" s="292">
        <f t="shared" si="354"/>
        <v>0.25</v>
      </c>
    </row>
    <row r="566" spans="1:30" s="45" customFormat="1" outlineLevel="1">
      <c r="A566" s="45" t="str">
        <f>A561</f>
        <v>Licences, Permits, Fees</v>
      </c>
      <c r="B566" s="13" t="s">
        <v>284</v>
      </c>
      <c r="C566" s="42">
        <f>SUM(D566:AD566)</f>
        <v>12.749999999999996</v>
      </c>
      <c r="D566" s="101">
        <f t="shared" ref="D566:AD566" si="355">IF(D$154=0,0,SUM(D563:D565))</f>
        <v>0</v>
      </c>
      <c r="E566" s="101">
        <f t="shared" si="355"/>
        <v>0</v>
      </c>
      <c r="F566" s="101">
        <f t="shared" si="355"/>
        <v>0.85</v>
      </c>
      <c r="G566" s="101">
        <f t="shared" si="355"/>
        <v>0.85</v>
      </c>
      <c r="H566" s="101">
        <f t="shared" si="355"/>
        <v>0.85</v>
      </c>
      <c r="I566" s="101">
        <f t="shared" si="355"/>
        <v>0.85</v>
      </c>
      <c r="J566" s="101">
        <f t="shared" si="355"/>
        <v>0.85</v>
      </c>
      <c r="K566" s="101">
        <f t="shared" si="355"/>
        <v>0.85</v>
      </c>
      <c r="L566" s="101">
        <f t="shared" si="355"/>
        <v>0.85</v>
      </c>
      <c r="M566" s="101">
        <f t="shared" si="355"/>
        <v>0.85</v>
      </c>
      <c r="N566" s="101">
        <f t="shared" si="355"/>
        <v>0.85</v>
      </c>
      <c r="O566" s="101">
        <f t="shared" si="355"/>
        <v>0.85</v>
      </c>
      <c r="P566" s="101">
        <f t="shared" si="355"/>
        <v>0.85</v>
      </c>
      <c r="Q566" s="101">
        <f t="shared" si="355"/>
        <v>0.85</v>
      </c>
      <c r="R566" s="101">
        <f t="shared" si="355"/>
        <v>0.85</v>
      </c>
      <c r="S566" s="101">
        <f t="shared" si="355"/>
        <v>0.85</v>
      </c>
      <c r="T566" s="101">
        <f t="shared" si="355"/>
        <v>0.85</v>
      </c>
      <c r="U566" s="101">
        <f t="shared" si="355"/>
        <v>0</v>
      </c>
      <c r="V566" s="101">
        <f t="shared" si="355"/>
        <v>0</v>
      </c>
      <c r="W566" s="101">
        <f t="shared" si="355"/>
        <v>0</v>
      </c>
      <c r="X566" s="101">
        <f t="shared" si="355"/>
        <v>0</v>
      </c>
      <c r="Y566" s="101">
        <f t="shared" si="355"/>
        <v>0</v>
      </c>
      <c r="Z566" s="101">
        <f t="shared" si="355"/>
        <v>0</v>
      </c>
      <c r="AA566" s="101">
        <f t="shared" si="355"/>
        <v>0</v>
      </c>
      <c r="AB566" s="101">
        <f t="shared" si="355"/>
        <v>0</v>
      </c>
      <c r="AC566" s="101">
        <f t="shared" si="355"/>
        <v>0</v>
      </c>
      <c r="AD566" s="101">
        <f t="shared" si="355"/>
        <v>0</v>
      </c>
    </row>
    <row r="567" spans="1:30" s="62" customFormat="1" outlineLevel="1">
      <c r="A567" s="41"/>
      <c r="B567" s="60"/>
      <c r="C567" s="42"/>
      <c r="D567" s="61"/>
      <c r="E567" s="61"/>
      <c r="F567" s="61"/>
      <c r="G567" s="61"/>
      <c r="H567" s="61"/>
      <c r="I567" s="61"/>
      <c r="J567" s="61"/>
      <c r="K567" s="61"/>
      <c r="L567" s="61"/>
      <c r="M567" s="61"/>
      <c r="N567" s="61"/>
      <c r="O567" s="61"/>
      <c r="P567" s="61"/>
      <c r="Q567" s="61"/>
      <c r="R567" s="61"/>
      <c r="S567" s="61"/>
      <c r="T567" s="61"/>
      <c r="U567" s="61"/>
      <c r="V567" s="61"/>
      <c r="W567" s="61"/>
      <c r="X567" s="61"/>
      <c r="Y567" s="61"/>
      <c r="Z567" s="61"/>
      <c r="AA567" s="61"/>
      <c r="AB567" s="61"/>
      <c r="AC567" s="61"/>
      <c r="AD567" s="61"/>
    </row>
    <row r="568" spans="1:30" s="116" customFormat="1" ht="23.4" customHeight="1" outlineLevel="1">
      <c r="A568" s="146" t="s">
        <v>371</v>
      </c>
      <c r="B568" s="114"/>
      <c r="C568" s="40"/>
      <c r="D568" s="115"/>
      <c r="E568" s="115"/>
      <c r="F568" s="115"/>
      <c r="G568" s="115"/>
      <c r="H568" s="115"/>
      <c r="I568" s="115"/>
      <c r="J568" s="115"/>
      <c r="K568" s="115"/>
      <c r="L568" s="115"/>
      <c r="M568" s="115"/>
      <c r="N568" s="115"/>
      <c r="O568" s="115"/>
      <c r="P568" s="115"/>
      <c r="Q568" s="115"/>
      <c r="R568" s="115"/>
      <c r="S568" s="115"/>
      <c r="T568" s="115"/>
      <c r="U568" s="115"/>
      <c r="V568" s="115"/>
      <c r="W568" s="115"/>
      <c r="X568" s="115"/>
      <c r="Y568" s="115"/>
      <c r="Z568" s="115"/>
      <c r="AA568" s="115"/>
      <c r="AB568" s="115"/>
      <c r="AC568" s="115"/>
      <c r="AD568" s="115"/>
    </row>
    <row r="569" spans="1:30" s="65" customFormat="1" outlineLevel="1">
      <c r="A569" s="13" t="s">
        <v>564</v>
      </c>
      <c r="B569" s="52"/>
      <c r="C569" s="54"/>
      <c r="D569" s="54"/>
      <c r="E569" s="54"/>
      <c r="F569" s="54"/>
      <c r="G569" s="54"/>
      <c r="H569" s="54"/>
      <c r="I569" s="54"/>
      <c r="J569" s="54"/>
      <c r="K569" s="54"/>
      <c r="L569" s="54"/>
      <c r="M569" s="54"/>
      <c r="N569" s="54"/>
      <c r="O569" s="54"/>
      <c r="P569" s="54"/>
      <c r="Q569" s="54"/>
      <c r="R569" s="54"/>
      <c r="S569" s="54"/>
      <c r="T569" s="54"/>
      <c r="U569" s="54"/>
      <c r="V569" s="54"/>
      <c r="W569" s="54"/>
      <c r="X569" s="54"/>
      <c r="Y569" s="54"/>
      <c r="Z569" s="54"/>
      <c r="AA569" s="54"/>
      <c r="AB569" s="54"/>
      <c r="AC569" s="54"/>
      <c r="AD569" s="54"/>
    </row>
    <row r="570" spans="1:30" s="45" customFormat="1" outlineLevel="1">
      <c r="A570" s="45" t="str">
        <f>A154</f>
        <v>ore feed to processing - aggregate</v>
      </c>
      <c r="B570" s="45" t="str">
        <f>B154</f>
        <v>millions dry tonnes</v>
      </c>
      <c r="C570" s="42">
        <f>SUM(D570:AD570)</f>
        <v>117.99999999999999</v>
      </c>
      <c r="D570" s="42">
        <f t="shared" ref="D570:AD570" si="356">D154</f>
        <v>0</v>
      </c>
      <c r="E570" s="42">
        <f t="shared" si="356"/>
        <v>0</v>
      </c>
      <c r="F570" s="42">
        <f t="shared" si="356"/>
        <v>5.0769230769230766</v>
      </c>
      <c r="G570" s="42">
        <f t="shared" si="356"/>
        <v>8</v>
      </c>
      <c r="H570" s="42">
        <f t="shared" si="356"/>
        <v>8</v>
      </c>
      <c r="I570" s="42">
        <f t="shared" si="356"/>
        <v>8</v>
      </c>
      <c r="J570" s="42">
        <f t="shared" si="356"/>
        <v>8.3461538461538467</v>
      </c>
      <c r="K570" s="42">
        <f t="shared" si="356"/>
        <v>7.6538461538461533</v>
      </c>
      <c r="L570" s="42">
        <f t="shared" si="356"/>
        <v>8</v>
      </c>
      <c r="M570" s="42">
        <f t="shared" si="356"/>
        <v>8</v>
      </c>
      <c r="N570" s="42">
        <f t="shared" si="356"/>
        <v>8</v>
      </c>
      <c r="O570" s="42">
        <f t="shared" si="356"/>
        <v>8</v>
      </c>
      <c r="P570" s="42">
        <f t="shared" si="356"/>
        <v>8</v>
      </c>
      <c r="Q570" s="42">
        <f t="shared" si="356"/>
        <v>8</v>
      </c>
      <c r="R570" s="42">
        <f t="shared" si="356"/>
        <v>8</v>
      </c>
      <c r="S570" s="42">
        <f t="shared" si="356"/>
        <v>8</v>
      </c>
      <c r="T570" s="42">
        <f t="shared" si="356"/>
        <v>8.9230769230769234</v>
      </c>
      <c r="U570" s="42">
        <f t="shared" si="356"/>
        <v>0</v>
      </c>
      <c r="V570" s="42">
        <f t="shared" si="356"/>
        <v>0</v>
      </c>
      <c r="W570" s="42">
        <f t="shared" si="356"/>
        <v>0</v>
      </c>
      <c r="X570" s="42">
        <f t="shared" si="356"/>
        <v>0</v>
      </c>
      <c r="Y570" s="42">
        <f t="shared" si="356"/>
        <v>0</v>
      </c>
      <c r="Z570" s="42">
        <f t="shared" si="356"/>
        <v>0</v>
      </c>
      <c r="AA570" s="42">
        <f t="shared" si="356"/>
        <v>0</v>
      </c>
      <c r="AB570" s="42">
        <f t="shared" si="356"/>
        <v>0</v>
      </c>
      <c r="AC570" s="42">
        <f t="shared" si="356"/>
        <v>0</v>
      </c>
      <c r="AD570" s="42">
        <f t="shared" si="356"/>
        <v>0</v>
      </c>
    </row>
    <row r="571" spans="1:30" outlineLevel="1">
      <c r="A571" s="214" t="s">
        <v>372</v>
      </c>
      <c r="B571" s="214" t="s">
        <v>284</v>
      </c>
      <c r="C571" s="42"/>
      <c r="D571" s="292">
        <v>0.38</v>
      </c>
      <c r="E571" s="292">
        <f t="shared" ref="E571:AD571" si="357">D571</f>
        <v>0.38</v>
      </c>
      <c r="F571" s="292">
        <f t="shared" si="357"/>
        <v>0.38</v>
      </c>
      <c r="G571" s="292">
        <f t="shared" si="357"/>
        <v>0.38</v>
      </c>
      <c r="H571" s="292">
        <f t="shared" si="357"/>
        <v>0.38</v>
      </c>
      <c r="I571" s="292">
        <f t="shared" si="357"/>
        <v>0.38</v>
      </c>
      <c r="J571" s="292">
        <f t="shared" si="357"/>
        <v>0.38</v>
      </c>
      <c r="K571" s="292">
        <f t="shared" si="357"/>
        <v>0.38</v>
      </c>
      <c r="L571" s="292">
        <f t="shared" si="357"/>
        <v>0.38</v>
      </c>
      <c r="M571" s="292">
        <f t="shared" si="357"/>
        <v>0.38</v>
      </c>
      <c r="N571" s="292">
        <f t="shared" si="357"/>
        <v>0.38</v>
      </c>
      <c r="O571" s="292">
        <f t="shared" si="357"/>
        <v>0.38</v>
      </c>
      <c r="P571" s="292">
        <f t="shared" si="357"/>
        <v>0.38</v>
      </c>
      <c r="Q571" s="292">
        <f t="shared" si="357"/>
        <v>0.38</v>
      </c>
      <c r="R571" s="292">
        <f t="shared" si="357"/>
        <v>0.38</v>
      </c>
      <c r="S571" s="292">
        <f t="shared" si="357"/>
        <v>0.38</v>
      </c>
      <c r="T571" s="292">
        <f t="shared" si="357"/>
        <v>0.38</v>
      </c>
      <c r="U571" s="292">
        <f t="shared" si="357"/>
        <v>0.38</v>
      </c>
      <c r="V571" s="292">
        <f t="shared" si="357"/>
        <v>0.38</v>
      </c>
      <c r="W571" s="292">
        <f t="shared" si="357"/>
        <v>0.38</v>
      </c>
      <c r="X571" s="292">
        <f t="shared" si="357"/>
        <v>0.38</v>
      </c>
      <c r="Y571" s="292">
        <f t="shared" si="357"/>
        <v>0.38</v>
      </c>
      <c r="Z571" s="292">
        <f t="shared" si="357"/>
        <v>0.38</v>
      </c>
      <c r="AA571" s="292">
        <f t="shared" si="357"/>
        <v>0.38</v>
      </c>
      <c r="AB571" s="292">
        <f t="shared" si="357"/>
        <v>0.38</v>
      </c>
      <c r="AC571" s="292">
        <f t="shared" si="357"/>
        <v>0.38</v>
      </c>
      <c r="AD571" s="292">
        <f t="shared" si="357"/>
        <v>0.38</v>
      </c>
    </row>
    <row r="572" spans="1:30" s="45" customFormat="1" outlineLevel="1">
      <c r="A572" s="45" t="str">
        <f>A568</f>
        <v>Head Office - incremental</v>
      </c>
      <c r="B572" s="13" t="s">
        <v>407</v>
      </c>
      <c r="C572" s="42">
        <f>SUM(D572:AD572)</f>
        <v>5.6999999999999993</v>
      </c>
      <c r="D572" s="101">
        <f t="shared" ref="D572:AD572" si="358">IF(D154=0,0,D571)</f>
        <v>0</v>
      </c>
      <c r="E572" s="101">
        <f t="shared" si="358"/>
        <v>0</v>
      </c>
      <c r="F572" s="101">
        <f t="shared" si="358"/>
        <v>0.38</v>
      </c>
      <c r="G572" s="101">
        <f t="shared" si="358"/>
        <v>0.38</v>
      </c>
      <c r="H572" s="101">
        <f t="shared" si="358"/>
        <v>0.38</v>
      </c>
      <c r="I572" s="101">
        <f t="shared" si="358"/>
        <v>0.38</v>
      </c>
      <c r="J572" s="101">
        <f t="shared" si="358"/>
        <v>0.38</v>
      </c>
      <c r="K572" s="101">
        <f t="shared" si="358"/>
        <v>0.38</v>
      </c>
      <c r="L572" s="101">
        <f t="shared" si="358"/>
        <v>0.38</v>
      </c>
      <c r="M572" s="101">
        <f t="shared" si="358"/>
        <v>0.38</v>
      </c>
      <c r="N572" s="101">
        <f t="shared" si="358"/>
        <v>0.38</v>
      </c>
      <c r="O572" s="101">
        <f t="shared" si="358"/>
        <v>0.38</v>
      </c>
      <c r="P572" s="101">
        <f t="shared" si="358"/>
        <v>0.38</v>
      </c>
      <c r="Q572" s="101">
        <f t="shared" si="358"/>
        <v>0.38</v>
      </c>
      <c r="R572" s="101">
        <f t="shared" si="358"/>
        <v>0.38</v>
      </c>
      <c r="S572" s="101">
        <f t="shared" si="358"/>
        <v>0.38</v>
      </c>
      <c r="T572" s="101">
        <f t="shared" si="358"/>
        <v>0.38</v>
      </c>
      <c r="U572" s="101">
        <f t="shared" si="358"/>
        <v>0</v>
      </c>
      <c r="V572" s="101">
        <f t="shared" si="358"/>
        <v>0</v>
      </c>
      <c r="W572" s="101">
        <f t="shared" si="358"/>
        <v>0</v>
      </c>
      <c r="X572" s="101">
        <f t="shared" si="358"/>
        <v>0</v>
      </c>
      <c r="Y572" s="101">
        <f t="shared" si="358"/>
        <v>0</v>
      </c>
      <c r="Z572" s="101">
        <f t="shared" si="358"/>
        <v>0</v>
      </c>
      <c r="AA572" s="101">
        <f t="shared" si="358"/>
        <v>0</v>
      </c>
      <c r="AB572" s="101">
        <f t="shared" si="358"/>
        <v>0</v>
      </c>
      <c r="AC572" s="101">
        <f t="shared" si="358"/>
        <v>0</v>
      </c>
      <c r="AD572" s="101">
        <f t="shared" si="358"/>
        <v>0</v>
      </c>
    </row>
    <row r="573" spans="1:30" s="45" customFormat="1" ht="15.5" outlineLevel="1">
      <c r="A573" s="82"/>
      <c r="B573" s="13"/>
      <c r="C573" s="44"/>
      <c r="D573" s="83"/>
      <c r="E573" s="83"/>
      <c r="F573" s="83"/>
      <c r="G573" s="83"/>
      <c r="H573" s="83"/>
      <c r="I573" s="83"/>
      <c r="J573" s="83"/>
      <c r="K573" s="83"/>
      <c r="L573" s="83"/>
      <c r="M573" s="83"/>
      <c r="N573" s="83"/>
      <c r="O573" s="83"/>
      <c r="P573" s="83"/>
      <c r="Q573" s="83"/>
      <c r="R573" s="83"/>
      <c r="S573" s="83"/>
      <c r="T573" s="83"/>
      <c r="U573" s="83"/>
      <c r="V573" s="83"/>
      <c r="W573" s="83"/>
      <c r="X573" s="83"/>
      <c r="Y573" s="83"/>
      <c r="Z573" s="83"/>
      <c r="AA573" s="83"/>
      <c r="AB573" s="83"/>
      <c r="AC573" s="83"/>
      <c r="AD573" s="83"/>
    </row>
    <row r="574" spans="1:30" s="286" customFormat="1" ht="28.75" customHeight="1" outlineLevel="1">
      <c r="A574" s="127" t="s">
        <v>31</v>
      </c>
      <c r="B574" s="117" t="s">
        <v>285</v>
      </c>
      <c r="C574" s="232">
        <f>SUM(D574:AD574)</f>
        <v>558.51000000000033</v>
      </c>
      <c r="D574" s="287">
        <f t="shared" ref="D574:AD574" si="359">IF(D154=0,0,D535+D541+D551+D559+D566+D572)</f>
        <v>0</v>
      </c>
      <c r="E574" s="287">
        <f t="shared" si="359"/>
        <v>0</v>
      </c>
      <c r="F574" s="287">
        <f t="shared" si="359"/>
        <v>37.234000000000009</v>
      </c>
      <c r="G574" s="287">
        <f t="shared" si="359"/>
        <v>37.234000000000009</v>
      </c>
      <c r="H574" s="287">
        <f t="shared" si="359"/>
        <v>37.234000000000009</v>
      </c>
      <c r="I574" s="287">
        <f t="shared" si="359"/>
        <v>37.234000000000009</v>
      </c>
      <c r="J574" s="287">
        <f t="shared" si="359"/>
        <v>37.234000000000009</v>
      </c>
      <c r="K574" s="287">
        <f t="shared" si="359"/>
        <v>37.234000000000009</v>
      </c>
      <c r="L574" s="287">
        <f t="shared" si="359"/>
        <v>37.234000000000009</v>
      </c>
      <c r="M574" s="287">
        <f t="shared" si="359"/>
        <v>37.234000000000009</v>
      </c>
      <c r="N574" s="287">
        <f t="shared" si="359"/>
        <v>37.234000000000009</v>
      </c>
      <c r="O574" s="287">
        <f t="shared" si="359"/>
        <v>37.234000000000009</v>
      </c>
      <c r="P574" s="287">
        <f t="shared" si="359"/>
        <v>37.234000000000009</v>
      </c>
      <c r="Q574" s="287">
        <f t="shared" si="359"/>
        <v>37.234000000000009</v>
      </c>
      <c r="R574" s="287">
        <f t="shared" si="359"/>
        <v>37.234000000000009</v>
      </c>
      <c r="S574" s="287">
        <f t="shared" si="359"/>
        <v>37.234000000000009</v>
      </c>
      <c r="T574" s="287">
        <f t="shared" si="359"/>
        <v>37.234000000000009</v>
      </c>
      <c r="U574" s="287">
        <f t="shared" si="359"/>
        <v>0</v>
      </c>
      <c r="V574" s="287">
        <f t="shared" si="359"/>
        <v>0</v>
      </c>
      <c r="W574" s="287">
        <f t="shared" si="359"/>
        <v>0</v>
      </c>
      <c r="X574" s="287">
        <f t="shared" si="359"/>
        <v>0</v>
      </c>
      <c r="Y574" s="287">
        <f t="shared" si="359"/>
        <v>0</v>
      </c>
      <c r="Z574" s="287">
        <f t="shared" si="359"/>
        <v>0</v>
      </c>
      <c r="AA574" s="287">
        <f t="shared" si="359"/>
        <v>0</v>
      </c>
      <c r="AB574" s="287">
        <f t="shared" si="359"/>
        <v>0</v>
      </c>
      <c r="AC574" s="287">
        <f t="shared" si="359"/>
        <v>0</v>
      </c>
      <c r="AD574" s="287">
        <f t="shared" si="359"/>
        <v>0</v>
      </c>
    </row>
    <row r="575" spans="1:30" s="45" customFormat="1" outlineLevel="1">
      <c r="A575" s="75" t="str">
        <f>A574&amp;"/tonne milled"</f>
        <v>General &amp; Administration/tonne milled</v>
      </c>
      <c r="B575" s="13" t="s">
        <v>303</v>
      </c>
      <c r="C575" s="57">
        <f>IF(C$154=0,0,C574/C$154)</f>
        <v>4.7331355932203421</v>
      </c>
      <c r="D575" s="57">
        <f t="shared" ref="D575:AD575" si="360">IF(D$154=0,0,D574/D$154)</f>
        <v>0</v>
      </c>
      <c r="E575" s="57">
        <f t="shared" si="360"/>
        <v>0</v>
      </c>
      <c r="F575" s="57">
        <f t="shared" si="360"/>
        <v>7.3339696969696995</v>
      </c>
      <c r="G575" s="57">
        <f t="shared" si="360"/>
        <v>4.6542500000000011</v>
      </c>
      <c r="H575" s="57">
        <f t="shared" si="360"/>
        <v>4.6542500000000011</v>
      </c>
      <c r="I575" s="57">
        <f t="shared" si="360"/>
        <v>4.6542500000000011</v>
      </c>
      <c r="J575" s="57">
        <f t="shared" si="360"/>
        <v>4.4612165898617517</v>
      </c>
      <c r="K575" s="57">
        <f t="shared" si="360"/>
        <v>4.8647437185929663</v>
      </c>
      <c r="L575" s="57">
        <f t="shared" si="360"/>
        <v>4.6542500000000011</v>
      </c>
      <c r="M575" s="57">
        <f t="shared" si="360"/>
        <v>4.6542500000000011</v>
      </c>
      <c r="N575" s="57">
        <f t="shared" si="360"/>
        <v>4.6542500000000011</v>
      </c>
      <c r="O575" s="57">
        <f t="shared" si="360"/>
        <v>4.6542500000000011</v>
      </c>
      <c r="P575" s="57">
        <f t="shared" si="360"/>
        <v>4.6542500000000011</v>
      </c>
      <c r="Q575" s="57">
        <f t="shared" si="360"/>
        <v>4.6542500000000011</v>
      </c>
      <c r="R575" s="57">
        <f t="shared" si="360"/>
        <v>4.6542500000000011</v>
      </c>
      <c r="S575" s="57">
        <f t="shared" si="360"/>
        <v>4.6542500000000011</v>
      </c>
      <c r="T575" s="57">
        <f t="shared" si="360"/>
        <v>4.1727758620689661</v>
      </c>
      <c r="U575" s="57">
        <f t="shared" si="360"/>
        <v>0</v>
      </c>
      <c r="V575" s="57">
        <f t="shared" si="360"/>
        <v>0</v>
      </c>
      <c r="W575" s="57">
        <f t="shared" si="360"/>
        <v>0</v>
      </c>
      <c r="X575" s="57">
        <f t="shared" si="360"/>
        <v>0</v>
      </c>
      <c r="Y575" s="57">
        <f t="shared" si="360"/>
        <v>0</v>
      </c>
      <c r="Z575" s="57">
        <f t="shared" si="360"/>
        <v>0</v>
      </c>
      <c r="AA575" s="57">
        <f t="shared" si="360"/>
        <v>0</v>
      </c>
      <c r="AB575" s="57">
        <f t="shared" si="360"/>
        <v>0</v>
      </c>
      <c r="AC575" s="57">
        <f t="shared" si="360"/>
        <v>0</v>
      </c>
      <c r="AD575" s="57">
        <f t="shared" si="360"/>
        <v>0</v>
      </c>
    </row>
    <row r="576" spans="1:30" s="65" customFormat="1" outlineLevel="1">
      <c r="A576" s="95"/>
      <c r="B576" s="96"/>
      <c r="C576" s="94"/>
      <c r="D576" s="67"/>
      <c r="E576" s="67"/>
      <c r="F576" s="67"/>
      <c r="G576" s="67"/>
      <c r="H576" s="67"/>
      <c r="I576" s="67"/>
      <c r="J576" s="67"/>
      <c r="K576" s="67"/>
      <c r="L576" s="67"/>
      <c r="M576" s="67"/>
      <c r="N576" s="67"/>
      <c r="O576" s="67"/>
      <c r="P576" s="67"/>
      <c r="Q576" s="67"/>
      <c r="R576" s="67"/>
      <c r="S576" s="67"/>
      <c r="T576" s="67"/>
      <c r="U576" s="67"/>
      <c r="V576" s="67"/>
      <c r="W576" s="67"/>
      <c r="X576" s="67"/>
      <c r="Y576" s="67"/>
      <c r="Z576" s="67"/>
      <c r="AA576" s="67"/>
      <c r="AB576" s="67"/>
      <c r="AC576" s="67"/>
      <c r="AD576" s="67"/>
    </row>
    <row r="577" spans="1:30" ht="54" customHeight="1">
      <c r="A577" s="23" t="s">
        <v>362</v>
      </c>
      <c r="D577" s="15"/>
      <c r="E577" s="15"/>
      <c r="F577" s="15"/>
      <c r="G577" s="15"/>
      <c r="H577" s="15"/>
      <c r="I577" s="15"/>
      <c r="J577" s="15"/>
      <c r="K577" s="15"/>
      <c r="L577" s="15"/>
      <c r="M577" s="15"/>
      <c r="N577" s="15"/>
      <c r="O577" s="15"/>
      <c r="P577" s="15"/>
      <c r="Q577" s="15"/>
      <c r="R577" s="15"/>
      <c r="S577" s="15"/>
      <c r="T577" s="15"/>
      <c r="U577" s="15"/>
      <c r="V577" s="15"/>
      <c r="W577" s="15"/>
      <c r="X577" s="15"/>
      <c r="Y577" s="15"/>
      <c r="Z577" s="15"/>
      <c r="AA577" s="15"/>
      <c r="AB577" s="15"/>
      <c r="AC577" s="15"/>
      <c r="AD577" s="15"/>
    </row>
    <row r="578" spans="1:30" s="45" customFormat="1" outlineLevel="1">
      <c r="A578" s="13" t="s">
        <v>565</v>
      </c>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c r="AA578" s="44"/>
      <c r="AB578" s="44"/>
      <c r="AC578" s="44"/>
      <c r="AD578" s="44"/>
    </row>
    <row r="579" spans="1:30" s="45" customFormat="1" outlineLevel="1">
      <c r="A579" s="45" t="str">
        <f>A138</f>
        <v xml:space="preserve">waste - aggregate  </v>
      </c>
      <c r="B579" s="45" t="str">
        <f>B138</f>
        <v>millions dry tonnes</v>
      </c>
      <c r="C579" s="42">
        <f>SUM(D579:AD579)</f>
        <v>1039</v>
      </c>
      <c r="D579" s="42">
        <f t="shared" ref="D579:AD579" si="361">D138</f>
        <v>0</v>
      </c>
      <c r="E579" s="42">
        <f t="shared" si="361"/>
        <v>37</v>
      </c>
      <c r="F579" s="42">
        <f t="shared" si="361"/>
        <v>37</v>
      </c>
      <c r="G579" s="42">
        <f t="shared" si="361"/>
        <v>35</v>
      </c>
      <c r="H579" s="42">
        <f t="shared" si="361"/>
        <v>60</v>
      </c>
      <c r="I579" s="42">
        <f t="shared" si="361"/>
        <v>60</v>
      </c>
      <c r="J579" s="42">
        <f t="shared" si="361"/>
        <v>90</v>
      </c>
      <c r="K579" s="42">
        <f t="shared" si="361"/>
        <v>90</v>
      </c>
      <c r="L579" s="42">
        <f t="shared" si="361"/>
        <v>90</v>
      </c>
      <c r="M579" s="42">
        <f t="shared" si="361"/>
        <v>90</v>
      </c>
      <c r="N579" s="42">
        <f t="shared" si="361"/>
        <v>90</v>
      </c>
      <c r="O579" s="42">
        <f t="shared" si="361"/>
        <v>90</v>
      </c>
      <c r="P579" s="42">
        <f t="shared" si="361"/>
        <v>90</v>
      </c>
      <c r="Q579" s="42">
        <f t="shared" si="361"/>
        <v>65</v>
      </c>
      <c r="R579" s="42">
        <f t="shared" si="361"/>
        <v>65</v>
      </c>
      <c r="S579" s="42">
        <f t="shared" si="361"/>
        <v>50</v>
      </c>
      <c r="T579" s="42">
        <f t="shared" si="361"/>
        <v>0</v>
      </c>
      <c r="U579" s="42">
        <f t="shared" si="361"/>
        <v>0</v>
      </c>
      <c r="V579" s="42">
        <f t="shared" si="361"/>
        <v>0</v>
      </c>
      <c r="W579" s="42">
        <f t="shared" si="361"/>
        <v>0</v>
      </c>
      <c r="X579" s="42">
        <f t="shared" si="361"/>
        <v>0</v>
      </c>
      <c r="Y579" s="42">
        <f t="shared" si="361"/>
        <v>0</v>
      </c>
      <c r="Z579" s="42">
        <f t="shared" si="361"/>
        <v>0</v>
      </c>
      <c r="AA579" s="42">
        <f t="shared" si="361"/>
        <v>0</v>
      </c>
      <c r="AB579" s="42">
        <f t="shared" si="361"/>
        <v>0</v>
      </c>
      <c r="AC579" s="42">
        <f t="shared" si="361"/>
        <v>0</v>
      </c>
      <c r="AD579" s="42">
        <f t="shared" si="361"/>
        <v>0</v>
      </c>
    </row>
    <row r="580" spans="1:30" outlineLevel="1">
      <c r="A580" s="214" t="s">
        <v>363</v>
      </c>
      <c r="B580" s="214" t="s">
        <v>361</v>
      </c>
      <c r="C580" s="42"/>
      <c r="D580" s="288">
        <v>0.3</v>
      </c>
      <c r="E580" s="288">
        <f t="shared" ref="E580:AD580" si="362">D580</f>
        <v>0.3</v>
      </c>
      <c r="F580" s="288">
        <f t="shared" si="362"/>
        <v>0.3</v>
      </c>
      <c r="G580" s="288">
        <f t="shared" si="362"/>
        <v>0.3</v>
      </c>
      <c r="H580" s="288">
        <f t="shared" si="362"/>
        <v>0.3</v>
      </c>
      <c r="I580" s="288">
        <f t="shared" si="362"/>
        <v>0.3</v>
      </c>
      <c r="J580" s="288">
        <f t="shared" si="362"/>
        <v>0.3</v>
      </c>
      <c r="K580" s="288">
        <f t="shared" si="362"/>
        <v>0.3</v>
      </c>
      <c r="L580" s="288">
        <f t="shared" si="362"/>
        <v>0.3</v>
      </c>
      <c r="M580" s="288">
        <f t="shared" si="362"/>
        <v>0.3</v>
      </c>
      <c r="N580" s="288">
        <f t="shared" si="362"/>
        <v>0.3</v>
      </c>
      <c r="O580" s="288">
        <f t="shared" si="362"/>
        <v>0.3</v>
      </c>
      <c r="P580" s="288">
        <f t="shared" si="362"/>
        <v>0.3</v>
      </c>
      <c r="Q580" s="288">
        <f t="shared" si="362"/>
        <v>0.3</v>
      </c>
      <c r="R580" s="288">
        <f t="shared" si="362"/>
        <v>0.3</v>
      </c>
      <c r="S580" s="288">
        <f t="shared" si="362"/>
        <v>0.3</v>
      </c>
      <c r="T580" s="288">
        <f t="shared" si="362"/>
        <v>0.3</v>
      </c>
      <c r="U580" s="288">
        <f t="shared" si="362"/>
        <v>0.3</v>
      </c>
      <c r="V580" s="288">
        <f t="shared" si="362"/>
        <v>0.3</v>
      </c>
      <c r="W580" s="288">
        <f t="shared" si="362"/>
        <v>0.3</v>
      </c>
      <c r="X580" s="288">
        <f t="shared" si="362"/>
        <v>0.3</v>
      </c>
      <c r="Y580" s="288">
        <f t="shared" si="362"/>
        <v>0.3</v>
      </c>
      <c r="Z580" s="288">
        <f t="shared" si="362"/>
        <v>0.3</v>
      </c>
      <c r="AA580" s="288">
        <f t="shared" si="362"/>
        <v>0.3</v>
      </c>
      <c r="AB580" s="288">
        <f t="shared" si="362"/>
        <v>0.3</v>
      </c>
      <c r="AC580" s="288">
        <f t="shared" si="362"/>
        <v>0.3</v>
      </c>
      <c r="AD580" s="288">
        <f t="shared" si="362"/>
        <v>0.3</v>
      </c>
    </row>
    <row r="581" spans="1:30" s="45" customFormat="1" outlineLevel="1">
      <c r="A581" s="45" t="s">
        <v>366</v>
      </c>
      <c r="B581" s="13" t="s">
        <v>284</v>
      </c>
      <c r="C581" s="42">
        <f>SUM(D581:AD581)</f>
        <v>311.7</v>
      </c>
      <c r="D581" s="56">
        <f t="shared" ref="D581:AD581" si="363">D579*D580</f>
        <v>0</v>
      </c>
      <c r="E581" s="56">
        <f t="shared" si="363"/>
        <v>11.1</v>
      </c>
      <c r="F581" s="56">
        <f t="shared" si="363"/>
        <v>11.1</v>
      </c>
      <c r="G581" s="56">
        <f t="shared" si="363"/>
        <v>10.5</v>
      </c>
      <c r="H581" s="56">
        <f t="shared" si="363"/>
        <v>18</v>
      </c>
      <c r="I581" s="56">
        <f t="shared" si="363"/>
        <v>18</v>
      </c>
      <c r="J581" s="56">
        <f t="shared" si="363"/>
        <v>27</v>
      </c>
      <c r="K581" s="56">
        <f t="shared" si="363"/>
        <v>27</v>
      </c>
      <c r="L581" s="56">
        <f t="shared" si="363"/>
        <v>27</v>
      </c>
      <c r="M581" s="56">
        <f t="shared" si="363"/>
        <v>27</v>
      </c>
      <c r="N581" s="56">
        <f t="shared" si="363"/>
        <v>27</v>
      </c>
      <c r="O581" s="56">
        <f t="shared" si="363"/>
        <v>27</v>
      </c>
      <c r="P581" s="56">
        <f t="shared" si="363"/>
        <v>27</v>
      </c>
      <c r="Q581" s="56">
        <f t="shared" si="363"/>
        <v>19.5</v>
      </c>
      <c r="R581" s="56">
        <f t="shared" si="363"/>
        <v>19.5</v>
      </c>
      <c r="S581" s="56">
        <f t="shared" si="363"/>
        <v>15</v>
      </c>
      <c r="T581" s="56">
        <f t="shared" si="363"/>
        <v>0</v>
      </c>
      <c r="U581" s="56">
        <f t="shared" si="363"/>
        <v>0</v>
      </c>
      <c r="V581" s="56">
        <f t="shared" si="363"/>
        <v>0</v>
      </c>
      <c r="W581" s="56">
        <f t="shared" si="363"/>
        <v>0</v>
      </c>
      <c r="X581" s="56">
        <f t="shared" si="363"/>
        <v>0</v>
      </c>
      <c r="Y581" s="56">
        <f t="shared" si="363"/>
        <v>0</v>
      </c>
      <c r="Z581" s="56">
        <f t="shared" si="363"/>
        <v>0</v>
      </c>
      <c r="AA581" s="56">
        <f t="shared" si="363"/>
        <v>0</v>
      </c>
      <c r="AB581" s="56">
        <f t="shared" si="363"/>
        <v>0</v>
      </c>
      <c r="AC581" s="56">
        <f t="shared" si="363"/>
        <v>0</v>
      </c>
      <c r="AD581" s="56">
        <f t="shared" si="363"/>
        <v>0</v>
      </c>
    </row>
    <row r="582" spans="1:30" s="45" customFormat="1" outlineLevel="1">
      <c r="B582" s="13"/>
      <c r="C582" s="42"/>
      <c r="D582" s="56"/>
      <c r="E582" s="56"/>
      <c r="F582" s="56"/>
      <c r="G582" s="56"/>
      <c r="H582" s="56"/>
      <c r="I582" s="56"/>
      <c r="J582" s="56"/>
      <c r="K582" s="56"/>
      <c r="L582" s="56"/>
      <c r="M582" s="56"/>
      <c r="N582" s="56"/>
      <c r="O582" s="56"/>
      <c r="P582" s="56"/>
      <c r="Q582" s="56"/>
      <c r="R582" s="56"/>
      <c r="S582" s="56"/>
      <c r="T582" s="56"/>
      <c r="U582" s="56"/>
      <c r="V582" s="56"/>
      <c r="W582" s="56"/>
      <c r="X582" s="56"/>
      <c r="Y582" s="56"/>
      <c r="Z582" s="56"/>
      <c r="AA582" s="56"/>
      <c r="AB582" s="56"/>
      <c r="AC582" s="56"/>
      <c r="AD582" s="56"/>
    </row>
    <row r="583" spans="1:30" s="45" customFormat="1" outlineLevel="1">
      <c r="A583" s="45" t="str">
        <f>A154</f>
        <v>ore feed to processing - aggregate</v>
      </c>
      <c r="B583" s="45" t="str">
        <f>B154</f>
        <v>millions dry tonnes</v>
      </c>
      <c r="C583" s="42">
        <f>SUM(D583:AD583)</f>
        <v>117.99999999999999</v>
      </c>
      <c r="D583" s="42">
        <f t="shared" ref="D583:AD583" si="364">D154</f>
        <v>0</v>
      </c>
      <c r="E583" s="42">
        <f t="shared" si="364"/>
        <v>0</v>
      </c>
      <c r="F583" s="42">
        <f t="shared" si="364"/>
        <v>5.0769230769230766</v>
      </c>
      <c r="G583" s="42">
        <f t="shared" si="364"/>
        <v>8</v>
      </c>
      <c r="H583" s="42">
        <f t="shared" si="364"/>
        <v>8</v>
      </c>
      <c r="I583" s="42">
        <f t="shared" si="364"/>
        <v>8</v>
      </c>
      <c r="J583" s="42">
        <f t="shared" si="364"/>
        <v>8.3461538461538467</v>
      </c>
      <c r="K583" s="42">
        <f t="shared" si="364"/>
        <v>7.6538461538461533</v>
      </c>
      <c r="L583" s="42">
        <f t="shared" si="364"/>
        <v>8</v>
      </c>
      <c r="M583" s="42">
        <f t="shared" si="364"/>
        <v>8</v>
      </c>
      <c r="N583" s="42">
        <f t="shared" si="364"/>
        <v>8</v>
      </c>
      <c r="O583" s="42">
        <f t="shared" si="364"/>
        <v>8</v>
      </c>
      <c r="P583" s="42">
        <f t="shared" si="364"/>
        <v>8</v>
      </c>
      <c r="Q583" s="42">
        <f t="shared" si="364"/>
        <v>8</v>
      </c>
      <c r="R583" s="42">
        <f t="shared" si="364"/>
        <v>8</v>
      </c>
      <c r="S583" s="42">
        <f t="shared" si="364"/>
        <v>8</v>
      </c>
      <c r="T583" s="42">
        <f t="shared" si="364"/>
        <v>8.9230769230769234</v>
      </c>
      <c r="U583" s="42">
        <f t="shared" si="364"/>
        <v>0</v>
      </c>
      <c r="V583" s="42">
        <f t="shared" si="364"/>
        <v>0</v>
      </c>
      <c r="W583" s="42">
        <f t="shared" si="364"/>
        <v>0</v>
      </c>
      <c r="X583" s="42">
        <f t="shared" si="364"/>
        <v>0</v>
      </c>
      <c r="Y583" s="42">
        <f t="shared" si="364"/>
        <v>0</v>
      </c>
      <c r="Z583" s="42">
        <f t="shared" si="364"/>
        <v>0</v>
      </c>
      <c r="AA583" s="42">
        <f t="shared" si="364"/>
        <v>0</v>
      </c>
      <c r="AB583" s="42">
        <f t="shared" si="364"/>
        <v>0</v>
      </c>
      <c r="AC583" s="42">
        <f t="shared" si="364"/>
        <v>0</v>
      </c>
      <c r="AD583" s="42">
        <f t="shared" si="364"/>
        <v>0</v>
      </c>
    </row>
    <row r="584" spans="1:30" outlineLevel="1">
      <c r="A584" s="214" t="s">
        <v>364</v>
      </c>
      <c r="B584" s="214" t="s">
        <v>365</v>
      </c>
      <c r="C584" s="42"/>
      <c r="D584" s="288">
        <v>1.1000000000000001</v>
      </c>
      <c r="E584" s="288">
        <f t="shared" ref="E584:AD584" si="365">D584</f>
        <v>1.1000000000000001</v>
      </c>
      <c r="F584" s="288">
        <f t="shared" si="365"/>
        <v>1.1000000000000001</v>
      </c>
      <c r="G584" s="288">
        <f t="shared" si="365"/>
        <v>1.1000000000000001</v>
      </c>
      <c r="H584" s="288">
        <f t="shared" si="365"/>
        <v>1.1000000000000001</v>
      </c>
      <c r="I584" s="288">
        <f t="shared" si="365"/>
        <v>1.1000000000000001</v>
      </c>
      <c r="J584" s="288">
        <f t="shared" si="365"/>
        <v>1.1000000000000001</v>
      </c>
      <c r="K584" s="288">
        <f t="shared" si="365"/>
        <v>1.1000000000000001</v>
      </c>
      <c r="L584" s="288">
        <f t="shared" si="365"/>
        <v>1.1000000000000001</v>
      </c>
      <c r="M584" s="288">
        <f t="shared" si="365"/>
        <v>1.1000000000000001</v>
      </c>
      <c r="N584" s="288">
        <f t="shared" si="365"/>
        <v>1.1000000000000001</v>
      </c>
      <c r="O584" s="288">
        <f t="shared" si="365"/>
        <v>1.1000000000000001</v>
      </c>
      <c r="P584" s="288">
        <f t="shared" si="365"/>
        <v>1.1000000000000001</v>
      </c>
      <c r="Q584" s="288">
        <f t="shared" si="365"/>
        <v>1.1000000000000001</v>
      </c>
      <c r="R584" s="288">
        <f t="shared" si="365"/>
        <v>1.1000000000000001</v>
      </c>
      <c r="S584" s="288">
        <f t="shared" si="365"/>
        <v>1.1000000000000001</v>
      </c>
      <c r="T584" s="288">
        <f t="shared" si="365"/>
        <v>1.1000000000000001</v>
      </c>
      <c r="U584" s="288">
        <f t="shared" si="365"/>
        <v>1.1000000000000001</v>
      </c>
      <c r="V584" s="288">
        <f t="shared" si="365"/>
        <v>1.1000000000000001</v>
      </c>
      <c r="W584" s="288">
        <f t="shared" si="365"/>
        <v>1.1000000000000001</v>
      </c>
      <c r="X584" s="288">
        <f t="shared" si="365"/>
        <v>1.1000000000000001</v>
      </c>
      <c r="Y584" s="288">
        <f t="shared" si="365"/>
        <v>1.1000000000000001</v>
      </c>
      <c r="Z584" s="288">
        <f t="shared" si="365"/>
        <v>1.1000000000000001</v>
      </c>
      <c r="AA584" s="288">
        <f t="shared" si="365"/>
        <v>1.1000000000000001</v>
      </c>
      <c r="AB584" s="288">
        <f t="shared" si="365"/>
        <v>1.1000000000000001</v>
      </c>
      <c r="AC584" s="288">
        <f t="shared" si="365"/>
        <v>1.1000000000000001</v>
      </c>
      <c r="AD584" s="288">
        <f t="shared" si="365"/>
        <v>1.1000000000000001</v>
      </c>
    </row>
    <row r="585" spans="1:30" s="45" customFormat="1" outlineLevel="1">
      <c r="A585" s="45" t="s">
        <v>367</v>
      </c>
      <c r="B585" s="13" t="s">
        <v>284</v>
      </c>
      <c r="C585" s="42">
        <f>SUM(D585:AD585)</f>
        <v>129.79999999999998</v>
      </c>
      <c r="D585" s="56">
        <f t="shared" ref="D585:AD585" si="366">D583*D584</f>
        <v>0</v>
      </c>
      <c r="E585" s="56">
        <f t="shared" si="366"/>
        <v>0</v>
      </c>
      <c r="F585" s="56">
        <f t="shared" si="366"/>
        <v>5.5846153846153852</v>
      </c>
      <c r="G585" s="56">
        <f t="shared" si="366"/>
        <v>8.8000000000000007</v>
      </c>
      <c r="H585" s="56">
        <f t="shared" si="366"/>
        <v>8.8000000000000007</v>
      </c>
      <c r="I585" s="56">
        <f t="shared" si="366"/>
        <v>8.8000000000000007</v>
      </c>
      <c r="J585" s="56">
        <f t="shared" si="366"/>
        <v>9.1807692307692328</v>
      </c>
      <c r="K585" s="56">
        <f t="shared" si="366"/>
        <v>8.4192307692307686</v>
      </c>
      <c r="L585" s="56">
        <f t="shared" si="366"/>
        <v>8.8000000000000007</v>
      </c>
      <c r="M585" s="56">
        <f t="shared" si="366"/>
        <v>8.8000000000000007</v>
      </c>
      <c r="N585" s="56">
        <f t="shared" si="366"/>
        <v>8.8000000000000007</v>
      </c>
      <c r="O585" s="56">
        <f t="shared" si="366"/>
        <v>8.8000000000000007</v>
      </c>
      <c r="P585" s="56">
        <f t="shared" si="366"/>
        <v>8.8000000000000007</v>
      </c>
      <c r="Q585" s="56">
        <f t="shared" si="366"/>
        <v>8.8000000000000007</v>
      </c>
      <c r="R585" s="56">
        <f t="shared" si="366"/>
        <v>8.8000000000000007</v>
      </c>
      <c r="S585" s="56">
        <f t="shared" si="366"/>
        <v>8.8000000000000007</v>
      </c>
      <c r="T585" s="56">
        <f t="shared" si="366"/>
        <v>9.815384615384616</v>
      </c>
      <c r="U585" s="56">
        <f t="shared" si="366"/>
        <v>0</v>
      </c>
      <c r="V585" s="56">
        <f t="shared" si="366"/>
        <v>0</v>
      </c>
      <c r="W585" s="56">
        <f t="shared" si="366"/>
        <v>0</v>
      </c>
      <c r="X585" s="56">
        <f t="shared" si="366"/>
        <v>0</v>
      </c>
      <c r="Y585" s="56">
        <f t="shared" si="366"/>
        <v>0</v>
      </c>
      <c r="Z585" s="56">
        <f t="shared" si="366"/>
        <v>0</v>
      </c>
      <c r="AA585" s="56">
        <f t="shared" si="366"/>
        <v>0</v>
      </c>
      <c r="AB585" s="56">
        <f t="shared" si="366"/>
        <v>0</v>
      </c>
      <c r="AC585" s="56">
        <f t="shared" si="366"/>
        <v>0</v>
      </c>
      <c r="AD585" s="56">
        <f t="shared" si="366"/>
        <v>0</v>
      </c>
    </row>
    <row r="586" spans="1:30" s="45" customFormat="1" outlineLevel="1">
      <c r="B586" s="13"/>
      <c r="C586" s="42"/>
      <c r="D586" s="56"/>
      <c r="E586" s="56"/>
      <c r="F586" s="56"/>
      <c r="G586" s="56"/>
      <c r="H586" s="56"/>
      <c r="I586" s="56"/>
      <c r="J586" s="56"/>
      <c r="K586" s="56"/>
      <c r="L586" s="56"/>
      <c r="M586" s="56"/>
      <c r="N586" s="56"/>
      <c r="O586" s="56"/>
      <c r="P586" s="56"/>
      <c r="Q586" s="56"/>
      <c r="R586" s="56"/>
      <c r="S586" s="56"/>
      <c r="T586" s="56"/>
      <c r="U586" s="56"/>
      <c r="V586" s="56"/>
      <c r="W586" s="56"/>
      <c r="X586" s="56"/>
      <c r="Y586" s="56"/>
      <c r="Z586" s="56"/>
      <c r="AA586" s="56"/>
      <c r="AB586" s="56"/>
      <c r="AC586" s="56"/>
      <c r="AD586" s="56"/>
    </row>
    <row r="587" spans="1:30" s="45" customFormat="1" outlineLevel="1">
      <c r="A587" s="45" t="str">
        <f>A580</f>
        <v>Ongoing rehabilitation of waste dumps</v>
      </c>
      <c r="B587" s="13" t="s">
        <v>284</v>
      </c>
      <c r="C587" s="42">
        <f>SUM(D587:AD587)</f>
        <v>441.50000000000011</v>
      </c>
      <c r="D587" s="101">
        <f t="shared" ref="D587:AD587" si="367">D581+D585</f>
        <v>0</v>
      </c>
      <c r="E587" s="101">
        <f t="shared" si="367"/>
        <v>11.1</v>
      </c>
      <c r="F587" s="101">
        <f t="shared" si="367"/>
        <v>16.684615384615384</v>
      </c>
      <c r="G587" s="101">
        <f t="shared" si="367"/>
        <v>19.3</v>
      </c>
      <c r="H587" s="101">
        <f t="shared" si="367"/>
        <v>26.8</v>
      </c>
      <c r="I587" s="101">
        <f t="shared" si="367"/>
        <v>26.8</v>
      </c>
      <c r="J587" s="101">
        <f t="shared" si="367"/>
        <v>36.180769230769229</v>
      </c>
      <c r="K587" s="101">
        <f t="shared" si="367"/>
        <v>35.419230769230765</v>
      </c>
      <c r="L587" s="101">
        <f t="shared" si="367"/>
        <v>35.799999999999997</v>
      </c>
      <c r="M587" s="101">
        <f t="shared" si="367"/>
        <v>35.799999999999997</v>
      </c>
      <c r="N587" s="101">
        <f t="shared" si="367"/>
        <v>35.799999999999997</v>
      </c>
      <c r="O587" s="101">
        <f t="shared" si="367"/>
        <v>35.799999999999997</v>
      </c>
      <c r="P587" s="101">
        <f t="shared" si="367"/>
        <v>35.799999999999997</v>
      </c>
      <c r="Q587" s="101">
        <f t="shared" si="367"/>
        <v>28.3</v>
      </c>
      <c r="R587" s="101">
        <f t="shared" si="367"/>
        <v>28.3</v>
      </c>
      <c r="S587" s="101">
        <f t="shared" si="367"/>
        <v>23.8</v>
      </c>
      <c r="T587" s="101">
        <f t="shared" si="367"/>
        <v>9.815384615384616</v>
      </c>
      <c r="U587" s="101">
        <f t="shared" si="367"/>
        <v>0</v>
      </c>
      <c r="V587" s="101">
        <f t="shared" si="367"/>
        <v>0</v>
      </c>
      <c r="W587" s="101">
        <f t="shared" si="367"/>
        <v>0</v>
      </c>
      <c r="X587" s="101">
        <f t="shared" si="367"/>
        <v>0</v>
      </c>
      <c r="Y587" s="101">
        <f t="shared" si="367"/>
        <v>0</v>
      </c>
      <c r="Z587" s="101">
        <f t="shared" si="367"/>
        <v>0</v>
      </c>
      <c r="AA587" s="101">
        <f t="shared" si="367"/>
        <v>0</v>
      </c>
      <c r="AB587" s="101">
        <f t="shared" si="367"/>
        <v>0</v>
      </c>
      <c r="AC587" s="101">
        <f t="shared" si="367"/>
        <v>0</v>
      </c>
      <c r="AD587" s="101">
        <f t="shared" si="367"/>
        <v>0</v>
      </c>
    </row>
    <row r="588" spans="1:30" s="45" customFormat="1" outlineLevel="1">
      <c r="B588" s="13"/>
      <c r="C588" s="42"/>
      <c r="D588" s="56"/>
      <c r="E588" s="56"/>
      <c r="F588" s="56"/>
      <c r="G588" s="56"/>
      <c r="H588" s="56"/>
      <c r="I588" s="56"/>
      <c r="J588" s="56"/>
      <c r="K588" s="56"/>
      <c r="L588" s="56"/>
      <c r="M588" s="56"/>
      <c r="N588" s="56"/>
      <c r="O588" s="56"/>
      <c r="P588" s="56"/>
      <c r="Q588" s="56"/>
      <c r="R588" s="56"/>
      <c r="S588" s="56"/>
      <c r="T588" s="56"/>
      <c r="U588" s="56"/>
      <c r="V588" s="56"/>
      <c r="W588" s="56"/>
      <c r="X588" s="56"/>
      <c r="Y588" s="56"/>
      <c r="Z588" s="56"/>
      <c r="AA588" s="56"/>
      <c r="AB588" s="56"/>
      <c r="AC588" s="56"/>
      <c r="AD588" s="56"/>
    </row>
    <row r="589" spans="1:30" s="45" customFormat="1" outlineLevel="1">
      <c r="A589" s="13" t="s">
        <v>566</v>
      </c>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c r="AA589" s="44"/>
      <c r="AB589" s="44"/>
      <c r="AC589" s="44"/>
      <c r="AD589" s="44"/>
    </row>
    <row r="590" spans="1:30" outlineLevel="1">
      <c r="A590" s="214" t="s">
        <v>135</v>
      </c>
      <c r="B590" s="214" t="s">
        <v>284</v>
      </c>
      <c r="C590" s="42"/>
      <c r="D590" s="219">
        <v>320</v>
      </c>
      <c r="E590" s="219">
        <f t="shared" ref="E590:AD590" si="368">D590</f>
        <v>320</v>
      </c>
      <c r="F590" s="219">
        <f t="shared" si="368"/>
        <v>320</v>
      </c>
      <c r="G590" s="219">
        <f t="shared" si="368"/>
        <v>320</v>
      </c>
      <c r="H590" s="219">
        <f t="shared" si="368"/>
        <v>320</v>
      </c>
      <c r="I590" s="219">
        <f t="shared" si="368"/>
        <v>320</v>
      </c>
      <c r="J590" s="219">
        <f t="shared" si="368"/>
        <v>320</v>
      </c>
      <c r="K590" s="219">
        <f t="shared" si="368"/>
        <v>320</v>
      </c>
      <c r="L590" s="219">
        <f t="shared" si="368"/>
        <v>320</v>
      </c>
      <c r="M590" s="219">
        <f t="shared" si="368"/>
        <v>320</v>
      </c>
      <c r="N590" s="219">
        <f t="shared" si="368"/>
        <v>320</v>
      </c>
      <c r="O590" s="219">
        <f t="shared" si="368"/>
        <v>320</v>
      </c>
      <c r="P590" s="219">
        <f t="shared" si="368"/>
        <v>320</v>
      </c>
      <c r="Q590" s="219">
        <f t="shared" si="368"/>
        <v>320</v>
      </c>
      <c r="R590" s="219">
        <f t="shared" si="368"/>
        <v>320</v>
      </c>
      <c r="S590" s="219">
        <f t="shared" si="368"/>
        <v>320</v>
      </c>
      <c r="T590" s="219">
        <f t="shared" si="368"/>
        <v>320</v>
      </c>
      <c r="U590" s="219">
        <f t="shared" si="368"/>
        <v>320</v>
      </c>
      <c r="V590" s="219">
        <f t="shared" si="368"/>
        <v>320</v>
      </c>
      <c r="W590" s="219">
        <f t="shared" si="368"/>
        <v>320</v>
      </c>
      <c r="X590" s="219">
        <f t="shared" si="368"/>
        <v>320</v>
      </c>
      <c r="Y590" s="219">
        <f t="shared" si="368"/>
        <v>320</v>
      </c>
      <c r="Z590" s="219">
        <f t="shared" si="368"/>
        <v>320</v>
      </c>
      <c r="AA590" s="219">
        <f t="shared" si="368"/>
        <v>320</v>
      </c>
      <c r="AB590" s="219">
        <f t="shared" si="368"/>
        <v>320</v>
      </c>
      <c r="AC590" s="219">
        <f t="shared" si="368"/>
        <v>320</v>
      </c>
      <c r="AD590" s="219">
        <f t="shared" si="368"/>
        <v>320</v>
      </c>
    </row>
    <row r="591" spans="1:30" s="45" customFormat="1" outlineLevel="1">
      <c r="A591" s="45" t="s">
        <v>368</v>
      </c>
      <c r="B591" s="13" t="s">
        <v>284</v>
      </c>
      <c r="C591" s="42">
        <f>SUM(D591:AD591)</f>
        <v>320</v>
      </c>
      <c r="D591" s="101">
        <f t="shared" ref="D591:AD591" si="369">IF(AND(D154&gt;0,E154=0),D590,0)</f>
        <v>0</v>
      </c>
      <c r="E591" s="101">
        <f t="shared" si="369"/>
        <v>0</v>
      </c>
      <c r="F591" s="101">
        <f t="shared" si="369"/>
        <v>0</v>
      </c>
      <c r="G591" s="101">
        <f t="shared" si="369"/>
        <v>0</v>
      </c>
      <c r="H591" s="101">
        <f t="shared" si="369"/>
        <v>0</v>
      </c>
      <c r="I591" s="101">
        <f t="shared" si="369"/>
        <v>0</v>
      </c>
      <c r="J591" s="101">
        <f t="shared" si="369"/>
        <v>0</v>
      </c>
      <c r="K591" s="101">
        <f t="shared" si="369"/>
        <v>0</v>
      </c>
      <c r="L591" s="101">
        <f t="shared" si="369"/>
        <v>0</v>
      </c>
      <c r="M591" s="101">
        <f t="shared" si="369"/>
        <v>0</v>
      </c>
      <c r="N591" s="101">
        <f t="shared" si="369"/>
        <v>0</v>
      </c>
      <c r="O591" s="101">
        <f t="shared" si="369"/>
        <v>0</v>
      </c>
      <c r="P591" s="101">
        <f t="shared" si="369"/>
        <v>0</v>
      </c>
      <c r="Q591" s="101">
        <f t="shared" si="369"/>
        <v>0</v>
      </c>
      <c r="R591" s="101">
        <f t="shared" si="369"/>
        <v>0</v>
      </c>
      <c r="S591" s="101">
        <f t="shared" si="369"/>
        <v>0</v>
      </c>
      <c r="T591" s="101">
        <f t="shared" si="369"/>
        <v>320</v>
      </c>
      <c r="U591" s="101">
        <f t="shared" si="369"/>
        <v>0</v>
      </c>
      <c r="V591" s="101">
        <f t="shared" si="369"/>
        <v>0</v>
      </c>
      <c r="W591" s="101">
        <f t="shared" si="369"/>
        <v>0</v>
      </c>
      <c r="X591" s="101">
        <f t="shared" si="369"/>
        <v>0</v>
      </c>
      <c r="Y591" s="101">
        <f t="shared" si="369"/>
        <v>0</v>
      </c>
      <c r="Z591" s="101">
        <f t="shared" si="369"/>
        <v>0</v>
      </c>
      <c r="AA591" s="101">
        <f t="shared" si="369"/>
        <v>0</v>
      </c>
      <c r="AB591" s="101">
        <f t="shared" si="369"/>
        <v>0</v>
      </c>
      <c r="AC591" s="101">
        <f t="shared" si="369"/>
        <v>0</v>
      </c>
      <c r="AD591" s="101">
        <f t="shared" si="369"/>
        <v>0</v>
      </c>
    </row>
    <row r="592" spans="1:30" s="45" customFormat="1" ht="12" customHeight="1" outlineLevel="1">
      <c r="A592" s="59"/>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c r="AA592" s="44"/>
      <c r="AB592" s="44"/>
      <c r="AC592" s="44"/>
      <c r="AD592" s="44"/>
    </row>
    <row r="593" spans="1:30" s="286" customFormat="1" ht="28.75" customHeight="1" outlineLevel="1">
      <c r="A593" s="127" t="str">
        <f>A577</f>
        <v>Rehabilitation &amp; Environmental and Closure</v>
      </c>
      <c r="B593" s="117" t="s">
        <v>284</v>
      </c>
      <c r="C593" s="232">
        <f>SUM(D593:AD593)</f>
        <v>761.50000000000011</v>
      </c>
      <c r="D593" s="287">
        <f t="shared" ref="D593:AD593" si="370">D587+D591</f>
        <v>0</v>
      </c>
      <c r="E593" s="287">
        <f t="shared" si="370"/>
        <v>11.1</v>
      </c>
      <c r="F593" s="287">
        <f t="shared" si="370"/>
        <v>16.684615384615384</v>
      </c>
      <c r="G593" s="287">
        <f t="shared" si="370"/>
        <v>19.3</v>
      </c>
      <c r="H593" s="287">
        <f t="shared" si="370"/>
        <v>26.8</v>
      </c>
      <c r="I593" s="287">
        <f t="shared" si="370"/>
        <v>26.8</v>
      </c>
      <c r="J593" s="287">
        <f t="shared" si="370"/>
        <v>36.180769230769229</v>
      </c>
      <c r="K593" s="287">
        <f t="shared" si="370"/>
        <v>35.419230769230765</v>
      </c>
      <c r="L593" s="287">
        <f t="shared" si="370"/>
        <v>35.799999999999997</v>
      </c>
      <c r="M593" s="287">
        <f t="shared" si="370"/>
        <v>35.799999999999997</v>
      </c>
      <c r="N593" s="287">
        <f t="shared" si="370"/>
        <v>35.799999999999997</v>
      </c>
      <c r="O593" s="287">
        <f t="shared" si="370"/>
        <v>35.799999999999997</v>
      </c>
      <c r="P593" s="287">
        <f t="shared" si="370"/>
        <v>35.799999999999997</v>
      </c>
      <c r="Q593" s="287">
        <f t="shared" si="370"/>
        <v>28.3</v>
      </c>
      <c r="R593" s="287">
        <f t="shared" si="370"/>
        <v>28.3</v>
      </c>
      <c r="S593" s="287">
        <f t="shared" si="370"/>
        <v>23.8</v>
      </c>
      <c r="T593" s="287">
        <f t="shared" si="370"/>
        <v>329.81538461538463</v>
      </c>
      <c r="U593" s="287">
        <f t="shared" si="370"/>
        <v>0</v>
      </c>
      <c r="V593" s="287">
        <f t="shared" si="370"/>
        <v>0</v>
      </c>
      <c r="W593" s="287">
        <f t="shared" si="370"/>
        <v>0</v>
      </c>
      <c r="X593" s="287">
        <f t="shared" si="370"/>
        <v>0</v>
      </c>
      <c r="Y593" s="287">
        <f t="shared" si="370"/>
        <v>0</v>
      </c>
      <c r="Z593" s="287">
        <f t="shared" si="370"/>
        <v>0</v>
      </c>
      <c r="AA593" s="287">
        <f t="shared" si="370"/>
        <v>0</v>
      </c>
      <c r="AB593" s="287">
        <f t="shared" si="370"/>
        <v>0</v>
      </c>
      <c r="AC593" s="287">
        <f t="shared" si="370"/>
        <v>0</v>
      </c>
      <c r="AD593" s="287">
        <f t="shared" si="370"/>
        <v>0</v>
      </c>
    </row>
    <row r="594" spans="1:30" s="45" customFormat="1" outlineLevel="1">
      <c r="A594" s="75" t="str">
        <f>A593&amp;"/tonne milled"</f>
        <v>Rehabilitation &amp; Environmental and Closure/tonne milled</v>
      </c>
      <c r="B594" s="13" t="s">
        <v>303</v>
      </c>
      <c r="C594" s="57">
        <f>IF(C$154=0,0,C593/C$154)</f>
        <v>6.4533898305084767</v>
      </c>
      <c r="D594" s="57">
        <f t="shared" ref="D594:AD594" si="371">IF(D$154=0,0,D593/D$154)</f>
        <v>0</v>
      </c>
      <c r="E594" s="57">
        <f t="shared" si="371"/>
        <v>0</v>
      </c>
      <c r="F594" s="57">
        <f t="shared" si="371"/>
        <v>3.2863636363636366</v>
      </c>
      <c r="G594" s="57">
        <f t="shared" si="371"/>
        <v>2.4125000000000001</v>
      </c>
      <c r="H594" s="57">
        <f t="shared" si="371"/>
        <v>3.35</v>
      </c>
      <c r="I594" s="57">
        <f t="shared" si="371"/>
        <v>3.35</v>
      </c>
      <c r="J594" s="57">
        <f t="shared" si="371"/>
        <v>4.3350230414746536</v>
      </c>
      <c r="K594" s="57">
        <f t="shared" si="371"/>
        <v>4.6276381909547739</v>
      </c>
      <c r="L594" s="57">
        <f t="shared" si="371"/>
        <v>4.4749999999999996</v>
      </c>
      <c r="M594" s="57">
        <f t="shared" si="371"/>
        <v>4.4749999999999996</v>
      </c>
      <c r="N594" s="57">
        <f t="shared" si="371"/>
        <v>4.4749999999999996</v>
      </c>
      <c r="O594" s="57">
        <f t="shared" si="371"/>
        <v>4.4749999999999996</v>
      </c>
      <c r="P594" s="57">
        <f t="shared" si="371"/>
        <v>4.4749999999999996</v>
      </c>
      <c r="Q594" s="57">
        <f t="shared" si="371"/>
        <v>3.5375000000000001</v>
      </c>
      <c r="R594" s="57">
        <f t="shared" si="371"/>
        <v>3.5375000000000001</v>
      </c>
      <c r="S594" s="57">
        <f t="shared" si="371"/>
        <v>2.9750000000000001</v>
      </c>
      <c r="T594" s="57">
        <f t="shared" si="371"/>
        <v>36.96206896551724</v>
      </c>
      <c r="U594" s="57">
        <f t="shared" si="371"/>
        <v>0</v>
      </c>
      <c r="V594" s="57">
        <f t="shared" si="371"/>
        <v>0</v>
      </c>
      <c r="W594" s="57">
        <f t="shared" si="371"/>
        <v>0</v>
      </c>
      <c r="X594" s="57">
        <f t="shared" si="371"/>
        <v>0</v>
      </c>
      <c r="Y594" s="57">
        <f t="shared" si="371"/>
        <v>0</v>
      </c>
      <c r="Z594" s="57">
        <f t="shared" si="371"/>
        <v>0</v>
      </c>
      <c r="AA594" s="57">
        <f t="shared" si="371"/>
        <v>0</v>
      </c>
      <c r="AB594" s="57">
        <f t="shared" si="371"/>
        <v>0</v>
      </c>
      <c r="AC594" s="57">
        <f t="shared" si="371"/>
        <v>0</v>
      </c>
      <c r="AD594" s="57">
        <f t="shared" si="371"/>
        <v>0</v>
      </c>
    </row>
    <row r="595" spans="1:30" s="65" customFormat="1" ht="24" customHeight="1">
      <c r="A595" s="41"/>
      <c r="B595" s="52"/>
      <c r="C595" s="54"/>
      <c r="D595" s="67"/>
      <c r="E595" s="67"/>
      <c r="F595" s="67"/>
      <c r="G595" s="67"/>
      <c r="H595" s="67"/>
      <c r="I595" s="67"/>
      <c r="J595" s="54"/>
      <c r="K595" s="54"/>
      <c r="L595" s="54"/>
      <c r="M595" s="54"/>
      <c r="N595" s="54"/>
      <c r="O595" s="54"/>
      <c r="P595" s="54"/>
      <c r="Q595" s="54"/>
      <c r="R595" s="54"/>
      <c r="S595" s="54"/>
      <c r="T595" s="54"/>
      <c r="U595" s="54"/>
      <c r="V595" s="54"/>
      <c r="W595" s="54"/>
      <c r="X595" s="54"/>
      <c r="Y595" s="54"/>
      <c r="Z595" s="54"/>
      <c r="AA595" s="54"/>
      <c r="AB595" s="54"/>
      <c r="AC595" s="54"/>
      <c r="AD595" s="54"/>
    </row>
    <row r="596" spans="1:30" s="8" customFormat="1" ht="15.5" outlineLevel="1">
      <c r="A596" s="242" t="str">
        <f>'Expected NPV &amp; Common Data'!A$36</f>
        <v>Calendar Year --&gt;</v>
      </c>
      <c r="B596" s="243" t="str">
        <f>'Expected NPV &amp; Common Data'!B$36</f>
        <v>units</v>
      </c>
      <c r="C596" s="244" t="str">
        <f>'Expected NPV &amp; Common Data'!C$36</f>
        <v>Total</v>
      </c>
      <c r="D596" s="245">
        <f>'Expected NPV &amp; Common Data'!D$36</f>
        <v>2027</v>
      </c>
      <c r="E596" s="245">
        <f>'Expected NPV &amp; Common Data'!E$36</f>
        <v>2028</v>
      </c>
      <c r="F596" s="245">
        <f>'Expected NPV &amp; Common Data'!F$36</f>
        <v>2029</v>
      </c>
      <c r="G596" s="245">
        <f>'Expected NPV &amp; Common Data'!G$36</f>
        <v>2030</v>
      </c>
      <c r="H596" s="245">
        <f>'Expected NPV &amp; Common Data'!H$36</f>
        <v>2031</v>
      </c>
      <c r="I596" s="245">
        <f>'Expected NPV &amp; Common Data'!I$36</f>
        <v>2032</v>
      </c>
      <c r="J596" s="245">
        <f>'Expected NPV &amp; Common Data'!J$36</f>
        <v>2033</v>
      </c>
      <c r="K596" s="245">
        <f>'Expected NPV &amp; Common Data'!K$36</f>
        <v>2034</v>
      </c>
      <c r="L596" s="245">
        <f>'Expected NPV &amp; Common Data'!L$36</f>
        <v>2035</v>
      </c>
      <c r="M596" s="245">
        <f>'Expected NPV &amp; Common Data'!M$36</f>
        <v>2036</v>
      </c>
      <c r="N596" s="245">
        <f>'Expected NPV &amp; Common Data'!N$36</f>
        <v>2037</v>
      </c>
      <c r="O596" s="245">
        <f>'Expected NPV &amp; Common Data'!O$36</f>
        <v>2038</v>
      </c>
      <c r="P596" s="245">
        <f>'Expected NPV &amp; Common Data'!P$36</f>
        <v>2039</v>
      </c>
      <c r="Q596" s="245">
        <f>'Expected NPV &amp; Common Data'!Q$36</f>
        <v>2040</v>
      </c>
      <c r="R596" s="245">
        <f>'Expected NPV &amp; Common Data'!R$36</f>
        <v>2041</v>
      </c>
      <c r="S596" s="245">
        <f>'Expected NPV &amp; Common Data'!S$36</f>
        <v>2042</v>
      </c>
      <c r="T596" s="245">
        <f>'Expected NPV &amp; Common Data'!T$36</f>
        <v>2043</v>
      </c>
      <c r="U596" s="245">
        <f>'Expected NPV &amp; Common Data'!U$36</f>
        <v>2044</v>
      </c>
      <c r="V596" s="245">
        <f>'Expected NPV &amp; Common Data'!V$36</f>
        <v>2045</v>
      </c>
      <c r="W596" s="245">
        <f>'Expected NPV &amp; Common Data'!W$36</f>
        <v>2046</v>
      </c>
      <c r="X596" s="245">
        <f>'Expected NPV &amp; Common Data'!X$36</f>
        <v>2047</v>
      </c>
      <c r="Y596" s="245">
        <f>'Expected NPV &amp; Common Data'!Y$36</f>
        <v>2048</v>
      </c>
      <c r="Z596" s="245">
        <f>'Expected NPV &amp; Common Data'!Z$36</f>
        <v>2049</v>
      </c>
      <c r="AA596" s="245">
        <f>'Expected NPV &amp; Common Data'!AA$36</f>
        <v>2050</v>
      </c>
      <c r="AB596" s="245">
        <f>'Expected NPV &amp; Common Data'!AB$36</f>
        <v>2051</v>
      </c>
      <c r="AC596" s="245">
        <f>'Expected NPV &amp; Common Data'!AC$36</f>
        <v>2052</v>
      </c>
      <c r="AD596" s="245">
        <f>'Expected NPV &amp; Common Data'!AD$36</f>
        <v>2053</v>
      </c>
    </row>
    <row r="597" spans="1:30" ht="54" customHeight="1">
      <c r="A597" s="23" t="s">
        <v>374</v>
      </c>
      <c r="D597" s="15"/>
      <c r="E597" s="15"/>
      <c r="F597" s="15"/>
      <c r="G597" s="15"/>
      <c r="H597" s="15"/>
      <c r="I597" s="15"/>
      <c r="J597" s="15"/>
      <c r="K597" s="15"/>
      <c r="L597" s="15"/>
      <c r="M597" s="15"/>
      <c r="N597" s="15"/>
      <c r="O597" s="15"/>
      <c r="P597" s="15"/>
      <c r="Q597" s="15"/>
      <c r="R597" s="15"/>
      <c r="S597" s="15"/>
      <c r="T597" s="15"/>
      <c r="U597" s="15"/>
      <c r="V597" s="15"/>
      <c r="W597" s="15"/>
      <c r="X597" s="15"/>
      <c r="Y597" s="15"/>
      <c r="Z597" s="15"/>
      <c r="AA597" s="15"/>
      <c r="AB597" s="15"/>
      <c r="AC597" s="15"/>
      <c r="AD597" s="15"/>
    </row>
    <row r="598" spans="1:30" s="65" customFormat="1" outlineLevel="1">
      <c r="A598" s="282" t="s">
        <v>587</v>
      </c>
      <c r="B598" s="52"/>
      <c r="C598" s="54"/>
      <c r="D598" s="54"/>
      <c r="E598" s="54"/>
      <c r="F598" s="54"/>
      <c r="G598" s="54"/>
      <c r="H598" s="54"/>
      <c r="I598" s="54"/>
      <c r="J598" s="54"/>
      <c r="K598" s="54"/>
      <c r="L598" s="54"/>
      <c r="M598" s="54"/>
      <c r="N598" s="54"/>
      <c r="O598" s="54"/>
      <c r="P598" s="54"/>
      <c r="Q598" s="54"/>
      <c r="R598" s="54"/>
      <c r="S598" s="54"/>
      <c r="T598" s="54"/>
      <c r="U598" s="54"/>
      <c r="V598" s="54"/>
      <c r="W598" s="54"/>
      <c r="X598" s="54"/>
      <c r="Y598" s="54"/>
      <c r="Z598" s="54"/>
      <c r="AA598" s="54"/>
      <c r="AB598" s="54"/>
      <c r="AC598" s="54"/>
      <c r="AD598" s="54"/>
    </row>
    <row r="599" spans="1:30">
      <c r="A599" s="69" t="str">
        <f>A139</f>
        <v xml:space="preserve">ore - aggregate  </v>
      </c>
      <c r="B599" s="69" t="str">
        <f>B139</f>
        <v>millions dry tonnes</v>
      </c>
      <c r="C599" s="42">
        <f>SUM(D599:AD599)</f>
        <v>118</v>
      </c>
      <c r="D599" s="42">
        <f t="shared" ref="D599:AD599" si="372">D139</f>
        <v>0</v>
      </c>
      <c r="E599" s="42">
        <f t="shared" si="372"/>
        <v>0</v>
      </c>
      <c r="F599" s="42">
        <f t="shared" si="372"/>
        <v>6</v>
      </c>
      <c r="G599" s="42">
        <f t="shared" si="372"/>
        <v>8</v>
      </c>
      <c r="H599" s="42">
        <f t="shared" si="372"/>
        <v>8</v>
      </c>
      <c r="I599" s="42">
        <f t="shared" si="372"/>
        <v>8</v>
      </c>
      <c r="J599" s="42">
        <f t="shared" si="372"/>
        <v>8</v>
      </c>
      <c r="K599" s="42">
        <f t="shared" si="372"/>
        <v>8</v>
      </c>
      <c r="L599" s="42">
        <f t="shared" si="372"/>
        <v>8</v>
      </c>
      <c r="M599" s="42">
        <f t="shared" si="372"/>
        <v>8</v>
      </c>
      <c r="N599" s="42">
        <f t="shared" si="372"/>
        <v>8</v>
      </c>
      <c r="O599" s="42">
        <f t="shared" si="372"/>
        <v>8</v>
      </c>
      <c r="P599" s="42">
        <f t="shared" si="372"/>
        <v>8</v>
      </c>
      <c r="Q599" s="42">
        <f t="shared" si="372"/>
        <v>8</v>
      </c>
      <c r="R599" s="42">
        <f t="shared" si="372"/>
        <v>8</v>
      </c>
      <c r="S599" s="42">
        <f t="shared" si="372"/>
        <v>8</v>
      </c>
      <c r="T599" s="42">
        <f t="shared" si="372"/>
        <v>8</v>
      </c>
      <c r="U599" s="42">
        <f t="shared" si="372"/>
        <v>0</v>
      </c>
      <c r="V599" s="42">
        <f t="shared" si="372"/>
        <v>0</v>
      </c>
      <c r="W599" s="42">
        <f t="shared" si="372"/>
        <v>0</v>
      </c>
      <c r="X599" s="42">
        <f t="shared" si="372"/>
        <v>0</v>
      </c>
      <c r="Y599" s="42">
        <f t="shared" si="372"/>
        <v>0</v>
      </c>
      <c r="Z599" s="42">
        <f t="shared" si="372"/>
        <v>0</v>
      </c>
      <c r="AA599" s="42">
        <f t="shared" si="372"/>
        <v>0</v>
      </c>
      <c r="AB599" s="42">
        <f t="shared" si="372"/>
        <v>0</v>
      </c>
      <c r="AC599" s="42">
        <f t="shared" si="372"/>
        <v>0</v>
      </c>
      <c r="AD599" s="42">
        <f t="shared" si="372"/>
        <v>0</v>
      </c>
    </row>
    <row r="600" spans="1:30" outlineLevel="1">
      <c r="A600" s="214" t="s">
        <v>373</v>
      </c>
      <c r="B600" s="214" t="s">
        <v>293</v>
      </c>
      <c r="C600" s="42"/>
      <c r="D600" s="226">
        <v>3.8</v>
      </c>
      <c r="E600" s="226">
        <f t="shared" ref="E600:AD600" si="373">D600</f>
        <v>3.8</v>
      </c>
      <c r="F600" s="226">
        <f t="shared" si="373"/>
        <v>3.8</v>
      </c>
      <c r="G600" s="226">
        <f t="shared" si="373"/>
        <v>3.8</v>
      </c>
      <c r="H600" s="226">
        <f t="shared" si="373"/>
        <v>3.8</v>
      </c>
      <c r="I600" s="226">
        <f t="shared" si="373"/>
        <v>3.8</v>
      </c>
      <c r="J600" s="226">
        <f t="shared" si="373"/>
        <v>3.8</v>
      </c>
      <c r="K600" s="226">
        <f t="shared" si="373"/>
        <v>3.8</v>
      </c>
      <c r="L600" s="226">
        <f t="shared" si="373"/>
        <v>3.8</v>
      </c>
      <c r="M600" s="226">
        <f t="shared" si="373"/>
        <v>3.8</v>
      </c>
      <c r="N600" s="226">
        <f t="shared" si="373"/>
        <v>3.8</v>
      </c>
      <c r="O600" s="226">
        <f t="shared" si="373"/>
        <v>3.8</v>
      </c>
      <c r="P600" s="226">
        <f t="shared" si="373"/>
        <v>3.8</v>
      </c>
      <c r="Q600" s="226">
        <f t="shared" si="373"/>
        <v>3.8</v>
      </c>
      <c r="R600" s="226">
        <f t="shared" si="373"/>
        <v>3.8</v>
      </c>
      <c r="S600" s="226">
        <f t="shared" si="373"/>
        <v>3.8</v>
      </c>
      <c r="T600" s="226">
        <f t="shared" si="373"/>
        <v>3.8</v>
      </c>
      <c r="U600" s="226">
        <f t="shared" si="373"/>
        <v>3.8</v>
      </c>
      <c r="V600" s="226">
        <f t="shared" si="373"/>
        <v>3.8</v>
      </c>
      <c r="W600" s="226">
        <f t="shared" si="373"/>
        <v>3.8</v>
      </c>
      <c r="X600" s="226">
        <f t="shared" si="373"/>
        <v>3.8</v>
      </c>
      <c r="Y600" s="226">
        <f t="shared" si="373"/>
        <v>3.8</v>
      </c>
      <c r="Z600" s="226">
        <f t="shared" si="373"/>
        <v>3.8</v>
      </c>
      <c r="AA600" s="226">
        <f t="shared" si="373"/>
        <v>3.8</v>
      </c>
      <c r="AB600" s="226">
        <f t="shared" si="373"/>
        <v>3.8</v>
      </c>
      <c r="AC600" s="226">
        <f t="shared" si="373"/>
        <v>3.8</v>
      </c>
      <c r="AD600" s="226">
        <f t="shared" si="373"/>
        <v>3.8</v>
      </c>
    </row>
    <row r="601" spans="1:30" s="65" customFormat="1" outlineLevel="1">
      <c r="A601" s="282" t="s">
        <v>588</v>
      </c>
      <c r="B601" s="54"/>
      <c r="C601" s="54"/>
      <c r="D601" s="54"/>
      <c r="E601" s="54"/>
      <c r="F601" s="54"/>
      <c r="G601" s="54"/>
      <c r="H601" s="54"/>
      <c r="I601" s="54"/>
      <c r="J601" s="54"/>
      <c r="K601" s="54"/>
      <c r="L601" s="54"/>
      <c r="M601" s="54"/>
      <c r="N601" s="54"/>
      <c r="O601" s="54"/>
      <c r="P601" s="54"/>
      <c r="Q601" s="54"/>
      <c r="R601" s="54"/>
      <c r="S601" s="54"/>
      <c r="T601" s="54"/>
      <c r="U601" s="54"/>
      <c r="V601" s="54"/>
      <c r="W601" s="54"/>
      <c r="X601" s="54"/>
      <c r="Y601" s="54"/>
      <c r="Z601" s="54"/>
      <c r="AA601" s="54"/>
      <c r="AB601" s="54"/>
      <c r="AC601" s="54"/>
      <c r="AD601" s="54"/>
    </row>
    <row r="602" spans="1:30" outlineLevel="1">
      <c r="A602" s="214" t="s">
        <v>375</v>
      </c>
      <c r="B602" s="214" t="s">
        <v>293</v>
      </c>
      <c r="C602" s="42"/>
      <c r="D602" s="219">
        <v>0</v>
      </c>
      <c r="E602" s="219">
        <f t="shared" ref="E602:AD602" si="374">D602</f>
        <v>0</v>
      </c>
      <c r="F602" s="219">
        <f t="shared" si="374"/>
        <v>0</v>
      </c>
      <c r="G602" s="219">
        <f t="shared" si="374"/>
        <v>0</v>
      </c>
      <c r="H602" s="219">
        <f t="shared" si="374"/>
        <v>0</v>
      </c>
      <c r="I602" s="219">
        <f t="shared" si="374"/>
        <v>0</v>
      </c>
      <c r="J602" s="219">
        <f t="shared" si="374"/>
        <v>0</v>
      </c>
      <c r="K602" s="219">
        <f t="shared" si="374"/>
        <v>0</v>
      </c>
      <c r="L602" s="219">
        <f t="shared" si="374"/>
        <v>0</v>
      </c>
      <c r="M602" s="219">
        <f t="shared" si="374"/>
        <v>0</v>
      </c>
      <c r="N602" s="219">
        <f t="shared" si="374"/>
        <v>0</v>
      </c>
      <c r="O602" s="219">
        <f t="shared" si="374"/>
        <v>0</v>
      </c>
      <c r="P602" s="219">
        <f t="shared" si="374"/>
        <v>0</v>
      </c>
      <c r="Q602" s="219">
        <f t="shared" si="374"/>
        <v>0</v>
      </c>
      <c r="R602" s="219">
        <f t="shared" si="374"/>
        <v>0</v>
      </c>
      <c r="S602" s="219">
        <f t="shared" si="374"/>
        <v>0</v>
      </c>
      <c r="T602" s="219">
        <f t="shared" si="374"/>
        <v>0</v>
      </c>
      <c r="U602" s="219">
        <f t="shared" si="374"/>
        <v>0</v>
      </c>
      <c r="V602" s="219">
        <f t="shared" si="374"/>
        <v>0</v>
      </c>
      <c r="W602" s="219">
        <f t="shared" si="374"/>
        <v>0</v>
      </c>
      <c r="X602" s="219">
        <f t="shared" si="374"/>
        <v>0</v>
      </c>
      <c r="Y602" s="219">
        <f t="shared" si="374"/>
        <v>0</v>
      </c>
      <c r="Z602" s="219">
        <f t="shared" si="374"/>
        <v>0</v>
      </c>
      <c r="AA602" s="219">
        <f t="shared" si="374"/>
        <v>0</v>
      </c>
      <c r="AB602" s="219">
        <f t="shared" si="374"/>
        <v>0</v>
      </c>
      <c r="AC602" s="219">
        <f t="shared" si="374"/>
        <v>0</v>
      </c>
      <c r="AD602" s="219">
        <f t="shared" si="374"/>
        <v>0</v>
      </c>
    </row>
    <row r="603" spans="1:30" s="45" customFormat="1" ht="15.5" outlineLevel="1">
      <c r="A603" s="82" t="str">
        <f>A597</f>
        <v>Exploration &amp; Geotechnical</v>
      </c>
      <c r="B603" s="13" t="s">
        <v>407</v>
      </c>
      <c r="C603" s="44">
        <f>SUM(D603:AD603)</f>
        <v>56.999999999999986</v>
      </c>
      <c r="D603" s="293">
        <f t="shared" ref="D603:AD603" si="375">IF(F599=0,0,D600+D602)</f>
        <v>3.8</v>
      </c>
      <c r="E603" s="293">
        <f t="shared" si="375"/>
        <v>3.8</v>
      </c>
      <c r="F603" s="293">
        <f t="shared" si="375"/>
        <v>3.8</v>
      </c>
      <c r="G603" s="293">
        <f t="shared" si="375"/>
        <v>3.8</v>
      </c>
      <c r="H603" s="293">
        <f t="shared" si="375"/>
        <v>3.8</v>
      </c>
      <c r="I603" s="293">
        <f t="shared" si="375"/>
        <v>3.8</v>
      </c>
      <c r="J603" s="293">
        <f t="shared" si="375"/>
        <v>3.8</v>
      </c>
      <c r="K603" s="293">
        <f t="shared" si="375"/>
        <v>3.8</v>
      </c>
      <c r="L603" s="293">
        <f t="shared" si="375"/>
        <v>3.8</v>
      </c>
      <c r="M603" s="293">
        <f t="shared" si="375"/>
        <v>3.8</v>
      </c>
      <c r="N603" s="293">
        <f t="shared" si="375"/>
        <v>3.8</v>
      </c>
      <c r="O603" s="293">
        <f t="shared" si="375"/>
        <v>3.8</v>
      </c>
      <c r="P603" s="293">
        <f t="shared" si="375"/>
        <v>3.8</v>
      </c>
      <c r="Q603" s="293">
        <f t="shared" si="375"/>
        <v>3.8</v>
      </c>
      <c r="R603" s="293">
        <f t="shared" si="375"/>
        <v>3.8</v>
      </c>
      <c r="S603" s="293">
        <f t="shared" si="375"/>
        <v>0</v>
      </c>
      <c r="T603" s="293">
        <f t="shared" si="375"/>
        <v>0</v>
      </c>
      <c r="U603" s="293">
        <f t="shared" si="375"/>
        <v>0</v>
      </c>
      <c r="V603" s="293">
        <f t="shared" si="375"/>
        <v>0</v>
      </c>
      <c r="W603" s="293">
        <f t="shared" si="375"/>
        <v>0</v>
      </c>
      <c r="X603" s="293">
        <f t="shared" si="375"/>
        <v>0</v>
      </c>
      <c r="Y603" s="293">
        <f t="shared" si="375"/>
        <v>0</v>
      </c>
      <c r="Z603" s="293">
        <f t="shared" si="375"/>
        <v>0</v>
      </c>
      <c r="AA603" s="293">
        <f t="shared" si="375"/>
        <v>0</v>
      </c>
      <c r="AB603" s="293">
        <f t="shared" si="375"/>
        <v>0</v>
      </c>
      <c r="AC603" s="293">
        <f t="shared" si="375"/>
        <v>0</v>
      </c>
      <c r="AD603" s="293">
        <f t="shared" si="375"/>
        <v>0</v>
      </c>
    </row>
    <row r="604" spans="1:30" s="45" customFormat="1" outlineLevel="1">
      <c r="A604" s="59"/>
      <c r="B604" s="13"/>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c r="AA604" s="44"/>
      <c r="AB604" s="44"/>
      <c r="AC604" s="44"/>
      <c r="AD604" s="44"/>
    </row>
    <row r="605" spans="1:30" s="8" customFormat="1" ht="15.5">
      <c r="A605" s="242" t="str">
        <f>'Expected NPV &amp; Common Data'!A$36</f>
        <v>Calendar Year --&gt;</v>
      </c>
      <c r="B605" s="243" t="str">
        <f>'Expected NPV &amp; Common Data'!B$36</f>
        <v>units</v>
      </c>
      <c r="C605" s="244" t="str">
        <f>'Expected NPV &amp; Common Data'!C$36</f>
        <v>Total</v>
      </c>
      <c r="D605" s="245">
        <f>'Expected NPV &amp; Common Data'!D$36</f>
        <v>2027</v>
      </c>
      <c r="E605" s="245">
        <f>'Expected NPV &amp; Common Data'!E$36</f>
        <v>2028</v>
      </c>
      <c r="F605" s="245">
        <f>'Expected NPV &amp; Common Data'!F$36</f>
        <v>2029</v>
      </c>
      <c r="G605" s="245">
        <f>'Expected NPV &amp; Common Data'!G$36</f>
        <v>2030</v>
      </c>
      <c r="H605" s="245">
        <f>'Expected NPV &amp; Common Data'!H$36</f>
        <v>2031</v>
      </c>
      <c r="I605" s="245">
        <f>'Expected NPV &amp; Common Data'!I$36</f>
        <v>2032</v>
      </c>
      <c r="J605" s="245">
        <f>'Expected NPV &amp; Common Data'!J$36</f>
        <v>2033</v>
      </c>
      <c r="K605" s="245">
        <f>'Expected NPV &amp; Common Data'!K$36</f>
        <v>2034</v>
      </c>
      <c r="L605" s="245">
        <f>'Expected NPV &amp; Common Data'!L$36</f>
        <v>2035</v>
      </c>
      <c r="M605" s="245">
        <f>'Expected NPV &amp; Common Data'!M$36</f>
        <v>2036</v>
      </c>
      <c r="N605" s="245">
        <f>'Expected NPV &amp; Common Data'!N$36</f>
        <v>2037</v>
      </c>
      <c r="O605" s="245">
        <f>'Expected NPV &amp; Common Data'!O$36</f>
        <v>2038</v>
      </c>
      <c r="P605" s="245">
        <f>'Expected NPV &amp; Common Data'!P$36</f>
        <v>2039</v>
      </c>
      <c r="Q605" s="245">
        <f>'Expected NPV &amp; Common Data'!Q$36</f>
        <v>2040</v>
      </c>
      <c r="R605" s="245">
        <f>'Expected NPV &amp; Common Data'!R$36</f>
        <v>2041</v>
      </c>
      <c r="S605" s="245">
        <f>'Expected NPV &amp; Common Data'!S$36</f>
        <v>2042</v>
      </c>
      <c r="T605" s="245">
        <f>'Expected NPV &amp; Common Data'!T$36</f>
        <v>2043</v>
      </c>
      <c r="U605" s="245">
        <f>'Expected NPV &amp; Common Data'!U$36</f>
        <v>2044</v>
      </c>
      <c r="V605" s="245">
        <f>'Expected NPV &amp; Common Data'!V$36</f>
        <v>2045</v>
      </c>
      <c r="W605" s="245">
        <f>'Expected NPV &amp; Common Data'!W$36</f>
        <v>2046</v>
      </c>
      <c r="X605" s="245">
        <f>'Expected NPV &amp; Common Data'!X$36</f>
        <v>2047</v>
      </c>
      <c r="Y605" s="245">
        <f>'Expected NPV &amp; Common Data'!Y$36</f>
        <v>2048</v>
      </c>
      <c r="Z605" s="245">
        <f>'Expected NPV &amp; Common Data'!Z$36</f>
        <v>2049</v>
      </c>
      <c r="AA605" s="245">
        <f>'Expected NPV &amp; Common Data'!AA$36</f>
        <v>2050</v>
      </c>
      <c r="AB605" s="245">
        <f>'Expected NPV &amp; Common Data'!AB$36</f>
        <v>2051</v>
      </c>
      <c r="AC605" s="245">
        <f>'Expected NPV &amp; Common Data'!AC$36</f>
        <v>2052</v>
      </c>
      <c r="AD605" s="245">
        <f>'Expected NPV &amp; Common Data'!AD$36</f>
        <v>2053</v>
      </c>
    </row>
    <row r="606" spans="1:30" ht="64.75" customHeight="1">
      <c r="A606" s="23" t="s">
        <v>84</v>
      </c>
      <c r="D606" s="15"/>
      <c r="E606" s="15"/>
      <c r="F606" s="15"/>
      <c r="G606" s="15"/>
      <c r="H606" s="15"/>
      <c r="I606" s="15"/>
      <c r="J606" s="15"/>
      <c r="K606" s="15"/>
      <c r="L606" s="15"/>
      <c r="M606" s="15"/>
      <c r="N606" s="15"/>
      <c r="O606" s="15"/>
      <c r="P606" s="15"/>
      <c r="Q606" s="15"/>
      <c r="R606" s="15"/>
      <c r="S606" s="15"/>
      <c r="T606" s="15"/>
      <c r="U606" s="15"/>
      <c r="V606" s="15"/>
      <c r="W606" s="15"/>
      <c r="X606" s="15"/>
      <c r="Y606" s="15"/>
      <c r="Z606" s="15"/>
      <c r="AA606" s="15"/>
      <c r="AB606" s="15"/>
      <c r="AC606" s="15"/>
      <c r="AD606" s="15"/>
    </row>
    <row r="607" spans="1:30" s="65" customFormat="1" outlineLevel="1">
      <c r="A607" s="282" t="s">
        <v>589</v>
      </c>
      <c r="B607" s="52"/>
      <c r="C607" s="54"/>
      <c r="D607" s="54"/>
      <c r="E607" s="54"/>
      <c r="F607" s="54"/>
      <c r="G607" s="54"/>
      <c r="H607" s="54"/>
      <c r="I607" s="54"/>
      <c r="J607" s="54"/>
      <c r="K607" s="54"/>
      <c r="L607" s="54"/>
      <c r="M607" s="54"/>
      <c r="N607" s="54"/>
      <c r="O607" s="54"/>
      <c r="P607" s="54"/>
      <c r="Q607" s="54"/>
      <c r="R607" s="54"/>
      <c r="S607" s="54"/>
      <c r="T607" s="54"/>
      <c r="U607" s="54"/>
      <c r="V607" s="54"/>
      <c r="W607" s="54"/>
      <c r="X607" s="54"/>
      <c r="Y607" s="54"/>
      <c r="Z607" s="54"/>
      <c r="AA607" s="54"/>
      <c r="AB607" s="54"/>
      <c r="AC607" s="54"/>
      <c r="AD607" s="54"/>
    </row>
    <row r="608" spans="1:30" s="45" customFormat="1" outlineLevel="1">
      <c r="A608" s="134" t="s">
        <v>567</v>
      </c>
      <c r="B608" s="13"/>
      <c r="C608" s="53"/>
      <c r="D608" s="44"/>
      <c r="E608" s="44"/>
      <c r="F608" s="44"/>
      <c r="G608" s="44"/>
      <c r="H608" s="44"/>
      <c r="I608" s="44"/>
      <c r="J608" s="44"/>
      <c r="K608" s="44"/>
      <c r="L608" s="44"/>
      <c r="M608" s="44"/>
      <c r="N608" s="44"/>
      <c r="O608" s="44"/>
      <c r="P608" s="44"/>
      <c r="Q608" s="44"/>
      <c r="R608" s="44"/>
      <c r="S608" s="44"/>
      <c r="T608" s="44"/>
      <c r="U608" s="44"/>
      <c r="V608" s="44"/>
      <c r="W608" s="44"/>
      <c r="X608" s="44"/>
      <c r="Y608" s="44"/>
      <c r="Z608" s="44"/>
      <c r="AA608" s="44"/>
      <c r="AB608" s="44"/>
      <c r="AC608" s="44"/>
      <c r="AD608" s="44"/>
    </row>
    <row r="609" spans="1:30" s="8" customFormat="1" ht="15.5" outlineLevel="1">
      <c r="A609" s="81" t="s">
        <v>158</v>
      </c>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row>
    <row r="610" spans="1:30" outlineLevel="1">
      <c r="A610" s="214" t="s">
        <v>358</v>
      </c>
      <c r="B610" s="214" t="s">
        <v>350</v>
      </c>
      <c r="C610" s="215"/>
      <c r="D610" s="220"/>
      <c r="E610" s="220"/>
      <c r="F610" s="220"/>
      <c r="G610" s="220">
        <v>0.01</v>
      </c>
      <c r="H610" s="220">
        <f t="shared" ref="H610:AD610" si="376">G610</f>
        <v>0.01</v>
      </c>
      <c r="I610" s="220">
        <f t="shared" si="376"/>
        <v>0.01</v>
      </c>
      <c r="J610" s="220">
        <f t="shared" si="376"/>
        <v>0.01</v>
      </c>
      <c r="K610" s="220">
        <f t="shared" si="376"/>
        <v>0.01</v>
      </c>
      <c r="L610" s="220">
        <f t="shared" si="376"/>
        <v>0.01</v>
      </c>
      <c r="M610" s="220">
        <f t="shared" si="376"/>
        <v>0.01</v>
      </c>
      <c r="N610" s="220">
        <f t="shared" si="376"/>
        <v>0.01</v>
      </c>
      <c r="O610" s="220">
        <f t="shared" si="376"/>
        <v>0.01</v>
      </c>
      <c r="P610" s="220">
        <f t="shared" si="376"/>
        <v>0.01</v>
      </c>
      <c r="Q610" s="220">
        <f t="shared" si="376"/>
        <v>0.01</v>
      </c>
      <c r="R610" s="220">
        <f t="shared" si="376"/>
        <v>0.01</v>
      </c>
      <c r="S610" s="220">
        <f t="shared" si="376"/>
        <v>0.01</v>
      </c>
      <c r="T610" s="220">
        <f t="shared" si="376"/>
        <v>0.01</v>
      </c>
      <c r="U610" s="220">
        <f t="shared" si="376"/>
        <v>0.01</v>
      </c>
      <c r="V610" s="220">
        <f t="shared" si="376"/>
        <v>0.01</v>
      </c>
      <c r="W610" s="220">
        <f t="shared" si="376"/>
        <v>0.01</v>
      </c>
      <c r="X610" s="220">
        <f t="shared" si="376"/>
        <v>0.01</v>
      </c>
      <c r="Y610" s="220">
        <f t="shared" si="376"/>
        <v>0.01</v>
      </c>
      <c r="Z610" s="220">
        <f t="shared" si="376"/>
        <v>0.01</v>
      </c>
      <c r="AA610" s="220">
        <f t="shared" si="376"/>
        <v>0.01</v>
      </c>
      <c r="AB610" s="220">
        <f t="shared" si="376"/>
        <v>0.01</v>
      </c>
      <c r="AC610" s="220">
        <f t="shared" si="376"/>
        <v>0.01</v>
      </c>
      <c r="AD610" s="220">
        <f t="shared" si="376"/>
        <v>0.01</v>
      </c>
    </row>
    <row r="611" spans="1:30" s="45" customFormat="1" outlineLevel="1">
      <c r="A611" s="45" t="str">
        <f>A610</f>
        <v>real increase in transport costs</v>
      </c>
      <c r="B611" s="13" t="s">
        <v>124</v>
      </c>
      <c r="C611" s="42"/>
      <c r="D611" s="294">
        <v>1</v>
      </c>
      <c r="E611" s="57">
        <f t="shared" ref="E611:AD611" si="377">D611*(1+E610)</f>
        <v>1</v>
      </c>
      <c r="F611" s="57">
        <f t="shared" si="377"/>
        <v>1</v>
      </c>
      <c r="G611" s="57">
        <f t="shared" si="377"/>
        <v>1.01</v>
      </c>
      <c r="H611" s="57">
        <f t="shared" si="377"/>
        <v>1.0201</v>
      </c>
      <c r="I611" s="57">
        <f t="shared" si="377"/>
        <v>1.0303009999999999</v>
      </c>
      <c r="J611" s="57">
        <f t="shared" si="377"/>
        <v>1.04060401</v>
      </c>
      <c r="K611" s="57">
        <f t="shared" si="377"/>
        <v>1.0510100500999999</v>
      </c>
      <c r="L611" s="57">
        <f t="shared" si="377"/>
        <v>1.0615201506009999</v>
      </c>
      <c r="M611" s="57">
        <f t="shared" si="377"/>
        <v>1.0721353521070098</v>
      </c>
      <c r="N611" s="57">
        <f t="shared" si="377"/>
        <v>1.08285670562808</v>
      </c>
      <c r="O611" s="57">
        <f t="shared" si="377"/>
        <v>1.0936852726843609</v>
      </c>
      <c r="P611" s="57">
        <f t="shared" si="377"/>
        <v>1.1046221254112045</v>
      </c>
      <c r="Q611" s="57">
        <f t="shared" si="377"/>
        <v>1.1156683466653166</v>
      </c>
      <c r="R611" s="57">
        <f t="shared" si="377"/>
        <v>1.1268250301319698</v>
      </c>
      <c r="S611" s="57">
        <f t="shared" si="377"/>
        <v>1.1380932804332895</v>
      </c>
      <c r="T611" s="57">
        <f t="shared" si="377"/>
        <v>1.1494742132376223</v>
      </c>
      <c r="U611" s="57">
        <f t="shared" si="377"/>
        <v>1.1609689553699987</v>
      </c>
      <c r="V611" s="57">
        <f t="shared" si="377"/>
        <v>1.1725786449236986</v>
      </c>
      <c r="W611" s="57">
        <f t="shared" si="377"/>
        <v>1.1843044313729356</v>
      </c>
      <c r="X611" s="57">
        <f t="shared" si="377"/>
        <v>1.196147475686665</v>
      </c>
      <c r="Y611" s="57">
        <f t="shared" si="377"/>
        <v>1.2081089504435316</v>
      </c>
      <c r="Z611" s="57">
        <f t="shared" si="377"/>
        <v>1.220190039947967</v>
      </c>
      <c r="AA611" s="57">
        <f t="shared" si="377"/>
        <v>1.2323919403474468</v>
      </c>
      <c r="AB611" s="57">
        <f t="shared" si="377"/>
        <v>1.2447158597509214</v>
      </c>
      <c r="AC611" s="57">
        <f t="shared" si="377"/>
        <v>1.2571630183484306</v>
      </c>
      <c r="AD611" s="57">
        <f t="shared" si="377"/>
        <v>1.269734648531915</v>
      </c>
    </row>
    <row r="612" spans="1:30" s="45" customFormat="1" outlineLevel="1">
      <c r="B612" s="13"/>
      <c r="C612" s="42"/>
      <c r="D612" s="57"/>
      <c r="E612" s="57"/>
      <c r="F612" s="57"/>
      <c r="G612" s="57"/>
      <c r="H612" s="57"/>
      <c r="I612" s="57"/>
      <c r="J612" s="57"/>
      <c r="K612" s="57"/>
      <c r="L612" s="57"/>
      <c r="M612" s="57"/>
      <c r="N612" s="57"/>
      <c r="O612" s="57"/>
      <c r="P612" s="57"/>
      <c r="Q612" s="57"/>
      <c r="R612" s="57"/>
      <c r="S612" s="57"/>
      <c r="T612" s="57"/>
      <c r="U612" s="57"/>
      <c r="V612" s="57"/>
      <c r="W612" s="57"/>
      <c r="X612" s="57"/>
      <c r="Y612" s="57"/>
      <c r="Z612" s="57"/>
      <c r="AA612" s="57"/>
      <c r="AB612" s="57"/>
      <c r="AC612" s="57"/>
      <c r="AD612" s="57"/>
    </row>
    <row r="613" spans="1:30" s="100" customFormat="1" ht="23.4" customHeight="1" outlineLevel="1">
      <c r="A613" s="24" t="s">
        <v>356</v>
      </c>
      <c r="C613" s="85"/>
      <c r="D613" s="85"/>
      <c r="E613" s="85"/>
      <c r="F613" s="85"/>
      <c r="G613" s="85"/>
      <c r="H613" s="85"/>
      <c r="I613" s="85"/>
      <c r="J613" s="85"/>
      <c r="K613" s="85"/>
      <c r="L613" s="85"/>
      <c r="M613" s="85"/>
      <c r="N613" s="85"/>
      <c r="O613" s="85"/>
      <c r="P613" s="85"/>
      <c r="Q613" s="85"/>
      <c r="R613" s="85"/>
      <c r="S613" s="85"/>
      <c r="T613" s="85"/>
      <c r="U613" s="85"/>
      <c r="V613" s="85"/>
      <c r="W613" s="85"/>
      <c r="X613" s="85"/>
      <c r="Y613" s="85"/>
      <c r="Z613" s="85"/>
      <c r="AA613" s="85"/>
      <c r="AB613" s="85"/>
      <c r="AC613" s="85"/>
      <c r="AD613" s="85"/>
    </row>
    <row r="614" spans="1:30" outlineLevel="1">
      <c r="A614" s="214" t="s">
        <v>157</v>
      </c>
      <c r="B614" s="214" t="s">
        <v>351</v>
      </c>
      <c r="C614" s="42"/>
      <c r="D614" s="288">
        <v>0.2</v>
      </c>
      <c r="E614" s="288">
        <f t="shared" ref="E614:AD614" si="378">D614</f>
        <v>0.2</v>
      </c>
      <c r="F614" s="288">
        <f t="shared" si="378"/>
        <v>0.2</v>
      </c>
      <c r="G614" s="288">
        <f t="shared" si="378"/>
        <v>0.2</v>
      </c>
      <c r="H614" s="288">
        <f t="shared" si="378"/>
        <v>0.2</v>
      </c>
      <c r="I614" s="288">
        <f t="shared" si="378"/>
        <v>0.2</v>
      </c>
      <c r="J614" s="288">
        <f t="shared" si="378"/>
        <v>0.2</v>
      </c>
      <c r="K614" s="288">
        <f t="shared" si="378"/>
        <v>0.2</v>
      </c>
      <c r="L614" s="288">
        <f t="shared" si="378"/>
        <v>0.2</v>
      </c>
      <c r="M614" s="288">
        <f t="shared" si="378"/>
        <v>0.2</v>
      </c>
      <c r="N614" s="288">
        <f t="shared" si="378"/>
        <v>0.2</v>
      </c>
      <c r="O614" s="288">
        <f t="shared" si="378"/>
        <v>0.2</v>
      </c>
      <c r="P614" s="288">
        <f t="shared" si="378"/>
        <v>0.2</v>
      </c>
      <c r="Q614" s="288">
        <f t="shared" si="378"/>
        <v>0.2</v>
      </c>
      <c r="R614" s="288">
        <f t="shared" si="378"/>
        <v>0.2</v>
      </c>
      <c r="S614" s="288">
        <f t="shared" si="378"/>
        <v>0.2</v>
      </c>
      <c r="T614" s="288">
        <f t="shared" si="378"/>
        <v>0.2</v>
      </c>
      <c r="U614" s="288">
        <f t="shared" si="378"/>
        <v>0.2</v>
      </c>
      <c r="V614" s="288">
        <f t="shared" si="378"/>
        <v>0.2</v>
      </c>
      <c r="W614" s="288">
        <f t="shared" si="378"/>
        <v>0.2</v>
      </c>
      <c r="X614" s="288">
        <f t="shared" si="378"/>
        <v>0.2</v>
      </c>
      <c r="Y614" s="288">
        <f t="shared" si="378"/>
        <v>0.2</v>
      </c>
      <c r="Z614" s="288">
        <f t="shared" si="378"/>
        <v>0.2</v>
      </c>
      <c r="AA614" s="288">
        <f t="shared" si="378"/>
        <v>0.2</v>
      </c>
      <c r="AB614" s="288">
        <f t="shared" si="378"/>
        <v>0.2</v>
      </c>
      <c r="AC614" s="288">
        <f t="shared" si="378"/>
        <v>0.2</v>
      </c>
      <c r="AD614" s="288">
        <f t="shared" si="378"/>
        <v>0.2</v>
      </c>
    </row>
    <row r="615" spans="1:30" s="45" customFormat="1" outlineLevel="1">
      <c r="A615" s="45" t="str">
        <f>A611</f>
        <v>real increase in transport costs</v>
      </c>
      <c r="B615" s="45" t="str">
        <f>B611</f>
        <v>factor</v>
      </c>
      <c r="C615" s="42"/>
      <c r="D615" s="57">
        <f t="shared" ref="D615:AD615" si="379">D611</f>
        <v>1</v>
      </c>
      <c r="E615" s="57">
        <f t="shared" si="379"/>
        <v>1</v>
      </c>
      <c r="F615" s="57">
        <f t="shared" si="379"/>
        <v>1</v>
      </c>
      <c r="G615" s="57">
        <f t="shared" si="379"/>
        <v>1.01</v>
      </c>
      <c r="H615" s="57">
        <f t="shared" si="379"/>
        <v>1.0201</v>
      </c>
      <c r="I615" s="57">
        <f t="shared" si="379"/>
        <v>1.0303009999999999</v>
      </c>
      <c r="J615" s="57">
        <f t="shared" si="379"/>
        <v>1.04060401</v>
      </c>
      <c r="K615" s="57">
        <f t="shared" si="379"/>
        <v>1.0510100500999999</v>
      </c>
      <c r="L615" s="57">
        <f t="shared" si="379"/>
        <v>1.0615201506009999</v>
      </c>
      <c r="M615" s="57">
        <f t="shared" si="379"/>
        <v>1.0721353521070098</v>
      </c>
      <c r="N615" s="57">
        <f t="shared" si="379"/>
        <v>1.08285670562808</v>
      </c>
      <c r="O615" s="57">
        <f t="shared" si="379"/>
        <v>1.0936852726843609</v>
      </c>
      <c r="P615" s="57">
        <f t="shared" si="379"/>
        <v>1.1046221254112045</v>
      </c>
      <c r="Q615" s="57">
        <f t="shared" si="379"/>
        <v>1.1156683466653166</v>
      </c>
      <c r="R615" s="57">
        <f t="shared" si="379"/>
        <v>1.1268250301319698</v>
      </c>
      <c r="S615" s="57">
        <f t="shared" si="379"/>
        <v>1.1380932804332895</v>
      </c>
      <c r="T615" s="57">
        <f t="shared" si="379"/>
        <v>1.1494742132376223</v>
      </c>
      <c r="U615" s="57">
        <f t="shared" si="379"/>
        <v>1.1609689553699987</v>
      </c>
      <c r="V615" s="57">
        <f t="shared" si="379"/>
        <v>1.1725786449236986</v>
      </c>
      <c r="W615" s="57">
        <f t="shared" si="379"/>
        <v>1.1843044313729356</v>
      </c>
      <c r="X615" s="57">
        <f t="shared" si="379"/>
        <v>1.196147475686665</v>
      </c>
      <c r="Y615" s="57">
        <f t="shared" si="379"/>
        <v>1.2081089504435316</v>
      </c>
      <c r="Z615" s="57">
        <f t="shared" si="379"/>
        <v>1.220190039947967</v>
      </c>
      <c r="AA615" s="57">
        <f t="shared" si="379"/>
        <v>1.2323919403474468</v>
      </c>
      <c r="AB615" s="57">
        <f t="shared" si="379"/>
        <v>1.2447158597509214</v>
      </c>
      <c r="AC615" s="57">
        <f t="shared" si="379"/>
        <v>1.2571630183484306</v>
      </c>
      <c r="AD615" s="57">
        <f t="shared" si="379"/>
        <v>1.269734648531915</v>
      </c>
    </row>
    <row r="616" spans="1:30" outlineLevel="1">
      <c r="A616" s="214" t="s">
        <v>352</v>
      </c>
      <c r="B616" s="214" t="s">
        <v>129</v>
      </c>
      <c r="C616" s="42"/>
      <c r="D616" s="219">
        <v>184</v>
      </c>
      <c r="E616" s="219">
        <f t="shared" ref="E616:AD616" si="380">D616</f>
        <v>184</v>
      </c>
      <c r="F616" s="219">
        <f t="shared" si="380"/>
        <v>184</v>
      </c>
      <c r="G616" s="219">
        <f t="shared" si="380"/>
        <v>184</v>
      </c>
      <c r="H616" s="219">
        <f t="shared" si="380"/>
        <v>184</v>
      </c>
      <c r="I616" s="219">
        <f t="shared" si="380"/>
        <v>184</v>
      </c>
      <c r="J616" s="219">
        <f t="shared" si="380"/>
        <v>184</v>
      </c>
      <c r="K616" s="219">
        <f t="shared" si="380"/>
        <v>184</v>
      </c>
      <c r="L616" s="219">
        <f t="shared" si="380"/>
        <v>184</v>
      </c>
      <c r="M616" s="219">
        <f t="shared" si="380"/>
        <v>184</v>
      </c>
      <c r="N616" s="219">
        <f t="shared" si="380"/>
        <v>184</v>
      </c>
      <c r="O616" s="219">
        <f t="shared" si="380"/>
        <v>184</v>
      </c>
      <c r="P616" s="219">
        <f t="shared" si="380"/>
        <v>184</v>
      </c>
      <c r="Q616" s="219">
        <f t="shared" si="380"/>
        <v>184</v>
      </c>
      <c r="R616" s="219">
        <f t="shared" si="380"/>
        <v>184</v>
      </c>
      <c r="S616" s="219">
        <f t="shared" si="380"/>
        <v>184</v>
      </c>
      <c r="T616" s="219">
        <f t="shared" si="380"/>
        <v>184</v>
      </c>
      <c r="U616" s="219">
        <f t="shared" si="380"/>
        <v>184</v>
      </c>
      <c r="V616" s="219">
        <f t="shared" si="380"/>
        <v>184</v>
      </c>
      <c r="W616" s="219">
        <f t="shared" si="380"/>
        <v>184</v>
      </c>
      <c r="X616" s="219">
        <f t="shared" si="380"/>
        <v>184</v>
      </c>
      <c r="Y616" s="219">
        <f t="shared" si="380"/>
        <v>184</v>
      </c>
      <c r="Z616" s="219">
        <f t="shared" si="380"/>
        <v>184</v>
      </c>
      <c r="AA616" s="219">
        <f t="shared" si="380"/>
        <v>184</v>
      </c>
      <c r="AB616" s="219">
        <f t="shared" si="380"/>
        <v>184</v>
      </c>
      <c r="AC616" s="219">
        <f t="shared" si="380"/>
        <v>184</v>
      </c>
      <c r="AD616" s="219">
        <f t="shared" si="380"/>
        <v>184</v>
      </c>
    </row>
    <row r="617" spans="1:30" s="45" customFormat="1" outlineLevel="1">
      <c r="A617" s="45" t="s">
        <v>130</v>
      </c>
      <c r="B617" s="45" t="s">
        <v>353</v>
      </c>
      <c r="C617" s="42"/>
      <c r="D617" s="42">
        <f t="shared" ref="D617:AD617" si="381">D614*D615*D616</f>
        <v>36.800000000000004</v>
      </c>
      <c r="E617" s="42">
        <f t="shared" si="381"/>
        <v>36.800000000000004</v>
      </c>
      <c r="F617" s="42">
        <f t="shared" si="381"/>
        <v>36.800000000000004</v>
      </c>
      <c r="G617" s="42">
        <f t="shared" si="381"/>
        <v>37.167999999999999</v>
      </c>
      <c r="H617" s="42">
        <f t="shared" si="381"/>
        <v>37.539680000000004</v>
      </c>
      <c r="I617" s="42">
        <f t="shared" si="381"/>
        <v>37.915076800000001</v>
      </c>
      <c r="J617" s="42">
        <f t="shared" si="381"/>
        <v>38.294227568000004</v>
      </c>
      <c r="K617" s="42">
        <f t="shared" si="381"/>
        <v>38.677169843679998</v>
      </c>
      <c r="L617" s="42">
        <f t="shared" si="381"/>
        <v>39.063941542116801</v>
      </c>
      <c r="M617" s="42">
        <f t="shared" si="381"/>
        <v>39.454580957537964</v>
      </c>
      <c r="N617" s="42">
        <f t="shared" si="381"/>
        <v>39.849126767113347</v>
      </c>
      <c r="O617" s="42">
        <f t="shared" si="381"/>
        <v>40.247618034784487</v>
      </c>
      <c r="P617" s="42">
        <f t="shared" si="381"/>
        <v>40.650094215132327</v>
      </c>
      <c r="Q617" s="42">
        <f t="shared" si="381"/>
        <v>41.056595157283652</v>
      </c>
      <c r="R617" s="42">
        <f t="shared" si="381"/>
        <v>41.467161108856494</v>
      </c>
      <c r="S617" s="42">
        <f t="shared" si="381"/>
        <v>41.881832719945052</v>
      </c>
      <c r="T617" s="42">
        <f t="shared" si="381"/>
        <v>42.300651047144498</v>
      </c>
      <c r="U617" s="42">
        <f t="shared" si="381"/>
        <v>42.723657557615951</v>
      </c>
      <c r="V617" s="42">
        <f t="shared" si="381"/>
        <v>43.150894133192111</v>
      </c>
      <c r="W617" s="42">
        <f t="shared" si="381"/>
        <v>43.582403074524031</v>
      </c>
      <c r="X617" s="42">
        <f t="shared" si="381"/>
        <v>44.018227105269276</v>
      </c>
      <c r="Y617" s="42">
        <f t="shared" si="381"/>
        <v>44.458409376321967</v>
      </c>
      <c r="Z617" s="42">
        <f t="shared" si="381"/>
        <v>44.902993470085185</v>
      </c>
      <c r="AA617" s="42">
        <f t="shared" si="381"/>
        <v>45.352023404786046</v>
      </c>
      <c r="AB617" s="42">
        <f t="shared" si="381"/>
        <v>45.80554363883391</v>
      </c>
      <c r="AC617" s="42">
        <f t="shared" si="381"/>
        <v>46.263599075222245</v>
      </c>
      <c r="AD617" s="42">
        <f t="shared" si="381"/>
        <v>46.726235065974471</v>
      </c>
    </row>
    <row r="618" spans="1:30" s="45" customFormat="1" outlineLevel="1">
      <c r="A618" s="45" t="str">
        <f>A195</f>
        <v>copper concentrate sold - wet</v>
      </c>
      <c r="B618" s="45" t="str">
        <f>B195</f>
        <v>000 tonnes WET</v>
      </c>
      <c r="C618" s="42">
        <f>SUM(D618:AD618)</f>
        <v>3421.5913978494632</v>
      </c>
      <c r="D618" s="42">
        <f t="shared" ref="D618:AD618" si="382">D195</f>
        <v>0</v>
      </c>
      <c r="E618" s="42">
        <f t="shared" si="382"/>
        <v>0</v>
      </c>
      <c r="F618" s="42">
        <f t="shared" si="382"/>
        <v>127.12044283260161</v>
      </c>
      <c r="G618" s="42">
        <f t="shared" si="382"/>
        <v>226.91760514093016</v>
      </c>
      <c r="H618" s="42">
        <f t="shared" si="382"/>
        <v>242.23655913978493</v>
      </c>
      <c r="I618" s="42">
        <f t="shared" si="382"/>
        <v>242.23655913978493</v>
      </c>
      <c r="J618" s="42">
        <f t="shared" si="382"/>
        <v>250.9038620601896</v>
      </c>
      <c r="K618" s="42">
        <f t="shared" si="382"/>
        <v>230.32741617357001</v>
      </c>
      <c r="L618" s="42">
        <f t="shared" si="382"/>
        <v>228.93139063858666</v>
      </c>
      <c r="M618" s="42">
        <f t="shared" si="382"/>
        <v>229.62007168458783</v>
      </c>
      <c r="N618" s="42">
        <f t="shared" si="382"/>
        <v>229.62007168458783</v>
      </c>
      <c r="O618" s="42">
        <f t="shared" si="382"/>
        <v>229.62007168458783</v>
      </c>
      <c r="P618" s="42">
        <f t="shared" si="382"/>
        <v>230.34234692795485</v>
      </c>
      <c r="Q618" s="42">
        <f t="shared" si="382"/>
        <v>223.51152679688659</v>
      </c>
      <c r="R618" s="42">
        <f t="shared" si="382"/>
        <v>222.05017921146953</v>
      </c>
      <c r="S618" s="42">
        <f t="shared" si="382"/>
        <v>222.05017921146953</v>
      </c>
      <c r="T618" s="42">
        <f t="shared" si="382"/>
        <v>286.10311552247038</v>
      </c>
      <c r="U618" s="42">
        <f t="shared" si="382"/>
        <v>0</v>
      </c>
      <c r="V618" s="42">
        <f t="shared" si="382"/>
        <v>0</v>
      </c>
      <c r="W618" s="42">
        <f t="shared" si="382"/>
        <v>0</v>
      </c>
      <c r="X618" s="42">
        <f t="shared" si="382"/>
        <v>0</v>
      </c>
      <c r="Y618" s="42">
        <f t="shared" si="382"/>
        <v>0</v>
      </c>
      <c r="Z618" s="42">
        <f t="shared" si="382"/>
        <v>0</v>
      </c>
      <c r="AA618" s="42">
        <f t="shared" si="382"/>
        <v>0</v>
      </c>
      <c r="AB618" s="42">
        <f t="shared" si="382"/>
        <v>0</v>
      </c>
      <c r="AC618" s="42">
        <f t="shared" si="382"/>
        <v>0</v>
      </c>
      <c r="AD618" s="42">
        <f t="shared" si="382"/>
        <v>0</v>
      </c>
    </row>
    <row r="619" spans="1:30" s="45" customFormat="1" outlineLevel="1">
      <c r="A619" s="45" t="s">
        <v>359</v>
      </c>
      <c r="B619" s="45" t="s">
        <v>284</v>
      </c>
      <c r="C619" s="42">
        <f>SUM(D619:AD619)</f>
        <v>135.45100258347381</v>
      </c>
      <c r="D619" s="56">
        <f t="shared" ref="D619:AD619" si="383">D617*D618/1000</f>
        <v>0</v>
      </c>
      <c r="E619" s="56">
        <f t="shared" si="383"/>
        <v>0</v>
      </c>
      <c r="F619" s="56">
        <f t="shared" si="383"/>
        <v>4.6780322962397394</v>
      </c>
      <c r="G619" s="56">
        <f t="shared" si="383"/>
        <v>8.434073547878091</v>
      </c>
      <c r="H619" s="56">
        <f t="shared" si="383"/>
        <v>9.0934829144086038</v>
      </c>
      <c r="I619" s="56">
        <f t="shared" si="383"/>
        <v>9.1844177435526877</v>
      </c>
      <c r="J619" s="56">
        <f t="shared" si="383"/>
        <v>9.6081695914229819</v>
      </c>
      <c r="K619" s="56">
        <f t="shared" si="383"/>
        <v>8.9084125950011348</v>
      </c>
      <c r="L619" s="56">
        <f t="shared" si="383"/>
        <v>8.9429624610612546</v>
      </c>
      <c r="M619" s="56">
        <f t="shared" si="383"/>
        <v>9.0595637077552418</v>
      </c>
      <c r="N619" s="56">
        <f t="shared" si="383"/>
        <v>9.1501593448327956</v>
      </c>
      <c r="O619" s="56">
        <f t="shared" si="383"/>
        <v>9.2416609382811234</v>
      </c>
      <c r="P619" s="56">
        <f t="shared" si="383"/>
        <v>9.3634381043560602</v>
      </c>
      <c r="Q619" s="56">
        <f t="shared" si="383"/>
        <v>9.1766222686861294</v>
      </c>
      <c r="R619" s="56">
        <f t="shared" si="383"/>
        <v>9.2077905556124637</v>
      </c>
      <c r="S619" s="56">
        <f t="shared" si="383"/>
        <v>9.2998684611685878</v>
      </c>
      <c r="T619" s="56">
        <f t="shared" si="383"/>
        <v>12.10234805321689</v>
      </c>
      <c r="U619" s="56">
        <f t="shared" si="383"/>
        <v>0</v>
      </c>
      <c r="V619" s="56">
        <f t="shared" si="383"/>
        <v>0</v>
      </c>
      <c r="W619" s="56">
        <f t="shared" si="383"/>
        <v>0</v>
      </c>
      <c r="X619" s="56">
        <f t="shared" si="383"/>
        <v>0</v>
      </c>
      <c r="Y619" s="56">
        <f t="shared" si="383"/>
        <v>0</v>
      </c>
      <c r="Z619" s="56">
        <f t="shared" si="383"/>
        <v>0</v>
      </c>
      <c r="AA619" s="56">
        <f t="shared" si="383"/>
        <v>0</v>
      </c>
      <c r="AB619" s="56">
        <f t="shared" si="383"/>
        <v>0</v>
      </c>
      <c r="AC619" s="56">
        <f t="shared" si="383"/>
        <v>0</v>
      </c>
      <c r="AD619" s="56">
        <f t="shared" si="383"/>
        <v>0</v>
      </c>
    </row>
    <row r="620" spans="1:30" s="45" customFormat="1" outlineLevel="1">
      <c r="A620" s="95"/>
      <c r="B620" s="96"/>
      <c r="C620" s="94"/>
      <c r="D620" s="42"/>
      <c r="E620" s="42"/>
      <c r="F620" s="42"/>
      <c r="G620" s="42"/>
      <c r="H620" s="42"/>
      <c r="I620" s="42"/>
      <c r="J620" s="42"/>
      <c r="K620" s="42"/>
      <c r="L620" s="42"/>
      <c r="M620" s="42"/>
      <c r="N620" s="42"/>
      <c r="O620" s="42"/>
      <c r="P620" s="42"/>
      <c r="Q620" s="42"/>
      <c r="R620" s="42"/>
      <c r="S620" s="42"/>
      <c r="T620" s="42"/>
      <c r="U620" s="42"/>
      <c r="V620" s="42"/>
      <c r="W620" s="42"/>
      <c r="X620" s="42"/>
      <c r="Y620" s="42"/>
      <c r="Z620" s="42"/>
      <c r="AA620" s="42"/>
      <c r="AB620" s="42"/>
      <c r="AC620" s="42"/>
      <c r="AD620" s="42"/>
    </row>
    <row r="621" spans="1:30" outlineLevel="1">
      <c r="A621" s="214" t="s">
        <v>354</v>
      </c>
      <c r="B621" s="214" t="s">
        <v>353</v>
      </c>
      <c r="C621" s="42"/>
      <c r="D621" s="219">
        <v>14</v>
      </c>
      <c r="E621" s="219">
        <f t="shared" ref="E621:AD621" si="384">D621</f>
        <v>14</v>
      </c>
      <c r="F621" s="219">
        <f t="shared" si="384"/>
        <v>14</v>
      </c>
      <c r="G621" s="219">
        <f t="shared" si="384"/>
        <v>14</v>
      </c>
      <c r="H621" s="219">
        <f t="shared" si="384"/>
        <v>14</v>
      </c>
      <c r="I621" s="219">
        <f t="shared" si="384"/>
        <v>14</v>
      </c>
      <c r="J621" s="219">
        <f t="shared" si="384"/>
        <v>14</v>
      </c>
      <c r="K621" s="219">
        <f t="shared" si="384"/>
        <v>14</v>
      </c>
      <c r="L621" s="219">
        <f t="shared" si="384"/>
        <v>14</v>
      </c>
      <c r="M621" s="219">
        <f t="shared" si="384"/>
        <v>14</v>
      </c>
      <c r="N621" s="219">
        <f t="shared" si="384"/>
        <v>14</v>
      </c>
      <c r="O621" s="219">
        <f t="shared" si="384"/>
        <v>14</v>
      </c>
      <c r="P621" s="219">
        <f t="shared" si="384"/>
        <v>14</v>
      </c>
      <c r="Q621" s="219">
        <f t="shared" si="384"/>
        <v>14</v>
      </c>
      <c r="R621" s="219">
        <f t="shared" si="384"/>
        <v>14</v>
      </c>
      <c r="S621" s="219">
        <f t="shared" si="384"/>
        <v>14</v>
      </c>
      <c r="T621" s="219">
        <f t="shared" si="384"/>
        <v>14</v>
      </c>
      <c r="U621" s="219">
        <f t="shared" si="384"/>
        <v>14</v>
      </c>
      <c r="V621" s="219">
        <f t="shared" si="384"/>
        <v>14</v>
      </c>
      <c r="W621" s="219">
        <f t="shared" si="384"/>
        <v>14</v>
      </c>
      <c r="X621" s="219">
        <f t="shared" si="384"/>
        <v>14</v>
      </c>
      <c r="Y621" s="219">
        <f t="shared" si="384"/>
        <v>14</v>
      </c>
      <c r="Z621" s="219">
        <f t="shared" si="384"/>
        <v>14</v>
      </c>
      <c r="AA621" s="219">
        <f t="shared" si="384"/>
        <v>14</v>
      </c>
      <c r="AB621" s="219">
        <f t="shared" si="384"/>
        <v>14</v>
      </c>
      <c r="AC621" s="219">
        <f t="shared" si="384"/>
        <v>14</v>
      </c>
      <c r="AD621" s="219">
        <f t="shared" si="384"/>
        <v>14</v>
      </c>
    </row>
    <row r="622" spans="1:30" s="45" customFormat="1" outlineLevel="1">
      <c r="A622" s="45" t="s">
        <v>355</v>
      </c>
      <c r="B622" s="45" t="s">
        <v>284</v>
      </c>
      <c r="C622" s="42">
        <f>SUM(D622:AD622)</f>
        <v>47.902279569892478</v>
      </c>
      <c r="D622" s="56">
        <f t="shared" ref="D622:AD622" si="385">D618*D621/1000</f>
        <v>0</v>
      </c>
      <c r="E622" s="56">
        <f t="shared" si="385"/>
        <v>0</v>
      </c>
      <c r="F622" s="56">
        <f t="shared" si="385"/>
        <v>1.7796861996564226</v>
      </c>
      <c r="G622" s="56">
        <f t="shared" si="385"/>
        <v>3.1768464719730223</v>
      </c>
      <c r="H622" s="56">
        <f t="shared" si="385"/>
        <v>3.3913118279569892</v>
      </c>
      <c r="I622" s="56">
        <f t="shared" si="385"/>
        <v>3.3913118279569892</v>
      </c>
      <c r="J622" s="56">
        <f t="shared" si="385"/>
        <v>3.5126540688426542</v>
      </c>
      <c r="K622" s="56">
        <f t="shared" si="385"/>
        <v>3.22458382642998</v>
      </c>
      <c r="L622" s="56">
        <f t="shared" si="385"/>
        <v>3.2050394689402131</v>
      </c>
      <c r="M622" s="56">
        <f t="shared" si="385"/>
        <v>3.2146810035842295</v>
      </c>
      <c r="N622" s="56">
        <f t="shared" si="385"/>
        <v>3.2146810035842295</v>
      </c>
      <c r="O622" s="56">
        <f t="shared" si="385"/>
        <v>3.2146810035842295</v>
      </c>
      <c r="P622" s="56">
        <f t="shared" si="385"/>
        <v>3.224792856991368</v>
      </c>
      <c r="Q622" s="56">
        <f t="shared" si="385"/>
        <v>3.1291613751564125</v>
      </c>
      <c r="R622" s="56">
        <f t="shared" si="385"/>
        <v>3.1087025089605733</v>
      </c>
      <c r="S622" s="56">
        <f t="shared" si="385"/>
        <v>3.1087025089605733</v>
      </c>
      <c r="T622" s="56">
        <f t="shared" si="385"/>
        <v>4.0054436173145849</v>
      </c>
      <c r="U622" s="56">
        <f t="shared" si="385"/>
        <v>0</v>
      </c>
      <c r="V622" s="56">
        <f t="shared" si="385"/>
        <v>0</v>
      </c>
      <c r="W622" s="56">
        <f t="shared" si="385"/>
        <v>0</v>
      </c>
      <c r="X622" s="56">
        <f t="shared" si="385"/>
        <v>0</v>
      </c>
      <c r="Y622" s="56">
        <f t="shared" si="385"/>
        <v>0</v>
      </c>
      <c r="Z622" s="56">
        <f t="shared" si="385"/>
        <v>0</v>
      </c>
      <c r="AA622" s="56">
        <f t="shared" si="385"/>
        <v>0</v>
      </c>
      <c r="AB622" s="56">
        <f t="shared" si="385"/>
        <v>0</v>
      </c>
      <c r="AC622" s="56">
        <f t="shared" si="385"/>
        <v>0</v>
      </c>
      <c r="AD622" s="56">
        <f t="shared" si="385"/>
        <v>0</v>
      </c>
    </row>
    <row r="623" spans="1:30" s="45" customFormat="1" outlineLevel="1">
      <c r="A623" s="95"/>
      <c r="B623" s="96"/>
      <c r="C623" s="295"/>
      <c r="D623" s="56"/>
      <c r="E623" s="56"/>
      <c r="F623" s="56"/>
      <c r="G623" s="56"/>
      <c r="H623" s="56"/>
      <c r="I623" s="56"/>
      <c r="J623" s="56"/>
      <c r="K623" s="56"/>
      <c r="L623" s="56"/>
      <c r="M623" s="56"/>
      <c r="N623" s="56"/>
      <c r="O623" s="56"/>
      <c r="P623" s="56"/>
      <c r="Q623" s="56"/>
      <c r="R623" s="56"/>
      <c r="S623" s="56"/>
      <c r="T623" s="56"/>
      <c r="U623" s="56"/>
      <c r="V623" s="56"/>
      <c r="W623" s="56"/>
      <c r="X623" s="56"/>
      <c r="Y623" s="56"/>
      <c r="Z623" s="56"/>
      <c r="AA623" s="56"/>
      <c r="AB623" s="56"/>
      <c r="AC623" s="56"/>
      <c r="AD623" s="56"/>
    </row>
    <row r="624" spans="1:30" s="45" customFormat="1" outlineLevel="1">
      <c r="A624" s="45" t="s">
        <v>131</v>
      </c>
      <c r="B624" s="45" t="s">
        <v>284</v>
      </c>
      <c r="C624" s="42">
        <f>SUM(D624:AD624)</f>
        <v>183.35328215336625</v>
      </c>
      <c r="D624" s="101">
        <f t="shared" ref="D624:AD624" si="386">D619+D622</f>
        <v>0</v>
      </c>
      <c r="E624" s="101">
        <f t="shared" si="386"/>
        <v>0</v>
      </c>
      <c r="F624" s="101">
        <f t="shared" si="386"/>
        <v>6.4577184958961622</v>
      </c>
      <c r="G624" s="101">
        <f t="shared" si="386"/>
        <v>11.610920019851113</v>
      </c>
      <c r="H624" s="101">
        <f t="shared" si="386"/>
        <v>12.484794742365594</v>
      </c>
      <c r="I624" s="101">
        <f t="shared" si="386"/>
        <v>12.575729571509676</v>
      </c>
      <c r="J624" s="101">
        <f t="shared" si="386"/>
        <v>13.120823660265636</v>
      </c>
      <c r="K624" s="101">
        <f t="shared" si="386"/>
        <v>12.132996421431114</v>
      </c>
      <c r="L624" s="101">
        <f t="shared" si="386"/>
        <v>12.148001930001467</v>
      </c>
      <c r="M624" s="101">
        <f t="shared" si="386"/>
        <v>12.27424471133947</v>
      </c>
      <c r="N624" s="101">
        <f t="shared" si="386"/>
        <v>12.364840348417026</v>
      </c>
      <c r="O624" s="101">
        <f t="shared" si="386"/>
        <v>12.456341941865354</v>
      </c>
      <c r="P624" s="101">
        <f t="shared" si="386"/>
        <v>12.588230961347428</v>
      </c>
      <c r="Q624" s="101">
        <f t="shared" si="386"/>
        <v>12.305783643842542</v>
      </c>
      <c r="R624" s="101">
        <f t="shared" si="386"/>
        <v>12.316493064573038</v>
      </c>
      <c r="S624" s="101">
        <f t="shared" si="386"/>
        <v>12.408570970129162</v>
      </c>
      <c r="T624" s="101">
        <f t="shared" si="386"/>
        <v>16.107791670531476</v>
      </c>
      <c r="U624" s="101">
        <f t="shared" si="386"/>
        <v>0</v>
      </c>
      <c r="V624" s="101">
        <f t="shared" si="386"/>
        <v>0</v>
      </c>
      <c r="W624" s="101">
        <f t="shared" si="386"/>
        <v>0</v>
      </c>
      <c r="X624" s="101">
        <f t="shared" si="386"/>
        <v>0</v>
      </c>
      <c r="Y624" s="101">
        <f t="shared" si="386"/>
        <v>0</v>
      </c>
      <c r="Z624" s="101">
        <f t="shared" si="386"/>
        <v>0</v>
      </c>
      <c r="AA624" s="101">
        <f t="shared" si="386"/>
        <v>0</v>
      </c>
      <c r="AB624" s="101">
        <f t="shared" si="386"/>
        <v>0</v>
      </c>
      <c r="AC624" s="101">
        <f t="shared" si="386"/>
        <v>0</v>
      </c>
      <c r="AD624" s="101">
        <f t="shared" si="386"/>
        <v>0</v>
      </c>
    </row>
    <row r="625" spans="1:30" s="45" customFormat="1" outlineLevel="1">
      <c r="A625" s="95"/>
      <c r="B625" s="96"/>
      <c r="C625" s="94"/>
      <c r="E625" s="42"/>
      <c r="F625" s="42"/>
      <c r="G625" s="42"/>
      <c r="H625" s="42"/>
      <c r="I625" s="42"/>
      <c r="J625" s="42"/>
      <c r="K625" s="42"/>
      <c r="L625" s="42"/>
      <c r="M625" s="42"/>
      <c r="N625" s="42"/>
      <c r="O625" s="42"/>
      <c r="P625" s="42"/>
      <c r="Q625" s="42"/>
      <c r="R625" s="42"/>
      <c r="S625" s="42"/>
      <c r="T625" s="42"/>
      <c r="U625" s="42"/>
      <c r="V625" s="42"/>
      <c r="W625" s="42"/>
      <c r="X625" s="42"/>
      <c r="Y625" s="42"/>
      <c r="Z625" s="42"/>
      <c r="AA625" s="42"/>
      <c r="AB625" s="42"/>
      <c r="AC625" s="42"/>
      <c r="AD625" s="42"/>
    </row>
    <row r="626" spans="1:30" s="100" customFormat="1" ht="23.4" customHeight="1" outlineLevel="1">
      <c r="A626" s="24" t="s">
        <v>357</v>
      </c>
      <c r="C626" s="85"/>
      <c r="D626" s="85"/>
      <c r="E626" s="85"/>
      <c r="F626" s="85"/>
      <c r="G626" s="85"/>
      <c r="H626" s="85"/>
      <c r="I626" s="85"/>
      <c r="J626" s="85"/>
      <c r="K626" s="85"/>
      <c r="L626" s="85"/>
      <c r="M626" s="85"/>
      <c r="N626" s="85"/>
      <c r="O626" s="85"/>
      <c r="P626" s="85"/>
      <c r="Q626" s="85"/>
      <c r="R626" s="85"/>
      <c r="S626" s="85"/>
      <c r="T626" s="85"/>
      <c r="U626" s="85"/>
      <c r="V626" s="85"/>
      <c r="W626" s="85"/>
      <c r="X626" s="85"/>
      <c r="Y626" s="85"/>
      <c r="Z626" s="85"/>
      <c r="AA626" s="85"/>
      <c r="AB626" s="85"/>
      <c r="AC626" s="85"/>
      <c r="AD626" s="85"/>
    </row>
    <row r="627" spans="1:30" s="45" customFormat="1" outlineLevel="1">
      <c r="A627" s="134" t="s">
        <v>567</v>
      </c>
      <c r="B627" s="13"/>
      <c r="C627" s="53"/>
      <c r="D627" s="44"/>
      <c r="E627" s="44"/>
      <c r="F627" s="44"/>
      <c r="G627" s="44"/>
      <c r="H627" s="44"/>
      <c r="I627" s="44"/>
      <c r="J627" s="44"/>
      <c r="K627" s="44"/>
      <c r="L627" s="44"/>
      <c r="M627" s="44"/>
      <c r="N627" s="44"/>
      <c r="O627" s="44"/>
      <c r="P627" s="44"/>
      <c r="Q627" s="44"/>
      <c r="R627" s="44"/>
      <c r="S627" s="44"/>
      <c r="T627" s="44"/>
      <c r="U627" s="44"/>
      <c r="V627" s="44"/>
      <c r="W627" s="44"/>
      <c r="X627" s="44"/>
      <c r="Y627" s="44"/>
      <c r="Z627" s="44"/>
      <c r="AA627" s="44"/>
      <c r="AB627" s="44"/>
      <c r="AC627" s="44"/>
      <c r="AD627" s="44"/>
    </row>
    <row r="628" spans="1:30" outlineLevel="1">
      <c r="A628" s="214" t="s">
        <v>128</v>
      </c>
      <c r="B628" s="214" t="s">
        <v>351</v>
      </c>
      <c r="C628" s="42"/>
      <c r="D628" s="288">
        <v>0.23</v>
      </c>
      <c r="E628" s="288">
        <f t="shared" ref="E628:AD628" si="387">D628</f>
        <v>0.23</v>
      </c>
      <c r="F628" s="288">
        <f t="shared" si="387"/>
        <v>0.23</v>
      </c>
      <c r="G628" s="288">
        <f t="shared" si="387"/>
        <v>0.23</v>
      </c>
      <c r="H628" s="288">
        <f t="shared" si="387"/>
        <v>0.23</v>
      </c>
      <c r="I628" s="288">
        <f t="shared" si="387"/>
        <v>0.23</v>
      </c>
      <c r="J628" s="288">
        <f t="shared" si="387"/>
        <v>0.23</v>
      </c>
      <c r="K628" s="288">
        <f t="shared" si="387"/>
        <v>0.23</v>
      </c>
      <c r="L628" s="288">
        <f t="shared" si="387"/>
        <v>0.23</v>
      </c>
      <c r="M628" s="288">
        <f t="shared" si="387"/>
        <v>0.23</v>
      </c>
      <c r="N628" s="288">
        <f t="shared" si="387"/>
        <v>0.23</v>
      </c>
      <c r="O628" s="288">
        <f t="shared" si="387"/>
        <v>0.23</v>
      </c>
      <c r="P628" s="288">
        <f t="shared" si="387"/>
        <v>0.23</v>
      </c>
      <c r="Q628" s="288">
        <f t="shared" si="387"/>
        <v>0.23</v>
      </c>
      <c r="R628" s="288">
        <f t="shared" si="387"/>
        <v>0.23</v>
      </c>
      <c r="S628" s="288">
        <f t="shared" si="387"/>
        <v>0.23</v>
      </c>
      <c r="T628" s="288">
        <f t="shared" si="387"/>
        <v>0.23</v>
      </c>
      <c r="U628" s="288">
        <f t="shared" si="387"/>
        <v>0.23</v>
      </c>
      <c r="V628" s="288">
        <f t="shared" si="387"/>
        <v>0.23</v>
      </c>
      <c r="W628" s="288">
        <f t="shared" si="387"/>
        <v>0.23</v>
      </c>
      <c r="X628" s="288">
        <f t="shared" si="387"/>
        <v>0.23</v>
      </c>
      <c r="Y628" s="288">
        <f t="shared" si="387"/>
        <v>0.23</v>
      </c>
      <c r="Z628" s="288">
        <f t="shared" si="387"/>
        <v>0.23</v>
      </c>
      <c r="AA628" s="288">
        <f t="shared" si="387"/>
        <v>0.23</v>
      </c>
      <c r="AB628" s="288">
        <f t="shared" si="387"/>
        <v>0.23</v>
      </c>
      <c r="AC628" s="288">
        <f t="shared" si="387"/>
        <v>0.23</v>
      </c>
      <c r="AD628" s="288">
        <f t="shared" si="387"/>
        <v>0.23</v>
      </c>
    </row>
    <row r="629" spans="1:30" s="45" customFormat="1" outlineLevel="1">
      <c r="A629" s="45" t="str">
        <f>A611</f>
        <v>real increase in transport costs</v>
      </c>
      <c r="B629" s="45" t="str">
        <f>B611</f>
        <v>factor</v>
      </c>
      <c r="C629" s="42"/>
      <c r="D629" s="57">
        <f t="shared" ref="D629:AD629" si="388">D611</f>
        <v>1</v>
      </c>
      <c r="E629" s="57">
        <f t="shared" si="388"/>
        <v>1</v>
      </c>
      <c r="F629" s="57">
        <f t="shared" si="388"/>
        <v>1</v>
      </c>
      <c r="G629" s="57">
        <f t="shared" si="388"/>
        <v>1.01</v>
      </c>
      <c r="H629" s="57">
        <f t="shared" si="388"/>
        <v>1.0201</v>
      </c>
      <c r="I629" s="57">
        <f t="shared" si="388"/>
        <v>1.0303009999999999</v>
      </c>
      <c r="J629" s="57">
        <f t="shared" si="388"/>
        <v>1.04060401</v>
      </c>
      <c r="K629" s="57">
        <f t="shared" si="388"/>
        <v>1.0510100500999999</v>
      </c>
      <c r="L629" s="57">
        <f t="shared" si="388"/>
        <v>1.0615201506009999</v>
      </c>
      <c r="M629" s="57">
        <f t="shared" si="388"/>
        <v>1.0721353521070098</v>
      </c>
      <c r="N629" s="57">
        <f t="shared" si="388"/>
        <v>1.08285670562808</v>
      </c>
      <c r="O629" s="57">
        <f t="shared" si="388"/>
        <v>1.0936852726843609</v>
      </c>
      <c r="P629" s="57">
        <f t="shared" si="388"/>
        <v>1.1046221254112045</v>
      </c>
      <c r="Q629" s="57">
        <f t="shared" si="388"/>
        <v>1.1156683466653166</v>
      </c>
      <c r="R629" s="57">
        <f t="shared" si="388"/>
        <v>1.1268250301319698</v>
      </c>
      <c r="S629" s="57">
        <f t="shared" si="388"/>
        <v>1.1380932804332895</v>
      </c>
      <c r="T629" s="57">
        <f t="shared" si="388"/>
        <v>1.1494742132376223</v>
      </c>
      <c r="U629" s="57">
        <f t="shared" si="388"/>
        <v>1.1609689553699987</v>
      </c>
      <c r="V629" s="57">
        <f t="shared" si="388"/>
        <v>1.1725786449236986</v>
      </c>
      <c r="W629" s="57">
        <f t="shared" si="388"/>
        <v>1.1843044313729356</v>
      </c>
      <c r="X629" s="57">
        <f t="shared" si="388"/>
        <v>1.196147475686665</v>
      </c>
      <c r="Y629" s="57">
        <f t="shared" si="388"/>
        <v>1.2081089504435316</v>
      </c>
      <c r="Z629" s="57">
        <f t="shared" si="388"/>
        <v>1.220190039947967</v>
      </c>
      <c r="AA629" s="57">
        <f t="shared" si="388"/>
        <v>1.2323919403474468</v>
      </c>
      <c r="AB629" s="57">
        <f t="shared" si="388"/>
        <v>1.2447158597509214</v>
      </c>
      <c r="AC629" s="57">
        <f t="shared" si="388"/>
        <v>1.2571630183484306</v>
      </c>
      <c r="AD629" s="57">
        <f t="shared" si="388"/>
        <v>1.269734648531915</v>
      </c>
    </row>
    <row r="630" spans="1:30" outlineLevel="1">
      <c r="A630" s="214" t="s">
        <v>455</v>
      </c>
      <c r="B630" s="214" t="s">
        <v>129</v>
      </c>
      <c r="C630" s="42"/>
      <c r="D630" s="219">
        <v>220</v>
      </c>
      <c r="E630" s="219">
        <f>D630</f>
        <v>220</v>
      </c>
      <c r="F630" s="219">
        <f t="shared" ref="F630:AD630" si="389">E630</f>
        <v>220</v>
      </c>
      <c r="G630" s="219">
        <f t="shared" si="389"/>
        <v>220</v>
      </c>
      <c r="H630" s="219">
        <f t="shared" si="389"/>
        <v>220</v>
      </c>
      <c r="I630" s="219">
        <f t="shared" si="389"/>
        <v>220</v>
      </c>
      <c r="J630" s="219">
        <f t="shared" si="389"/>
        <v>220</v>
      </c>
      <c r="K630" s="219">
        <f t="shared" si="389"/>
        <v>220</v>
      </c>
      <c r="L630" s="219">
        <f t="shared" si="389"/>
        <v>220</v>
      </c>
      <c r="M630" s="219">
        <f t="shared" si="389"/>
        <v>220</v>
      </c>
      <c r="N630" s="219">
        <f t="shared" si="389"/>
        <v>220</v>
      </c>
      <c r="O630" s="219">
        <f t="shared" si="389"/>
        <v>220</v>
      </c>
      <c r="P630" s="219">
        <f t="shared" si="389"/>
        <v>220</v>
      </c>
      <c r="Q630" s="219">
        <f t="shared" si="389"/>
        <v>220</v>
      </c>
      <c r="R630" s="219">
        <f t="shared" si="389"/>
        <v>220</v>
      </c>
      <c r="S630" s="219">
        <f t="shared" si="389"/>
        <v>220</v>
      </c>
      <c r="T630" s="219">
        <f t="shared" si="389"/>
        <v>220</v>
      </c>
      <c r="U630" s="219">
        <f t="shared" si="389"/>
        <v>220</v>
      </c>
      <c r="V630" s="219">
        <f t="shared" si="389"/>
        <v>220</v>
      </c>
      <c r="W630" s="219">
        <f t="shared" si="389"/>
        <v>220</v>
      </c>
      <c r="X630" s="219">
        <f t="shared" si="389"/>
        <v>220</v>
      </c>
      <c r="Y630" s="219">
        <f t="shared" si="389"/>
        <v>220</v>
      </c>
      <c r="Z630" s="219">
        <f t="shared" si="389"/>
        <v>220</v>
      </c>
      <c r="AA630" s="219">
        <f t="shared" si="389"/>
        <v>220</v>
      </c>
      <c r="AB630" s="219">
        <f t="shared" si="389"/>
        <v>220</v>
      </c>
      <c r="AC630" s="219">
        <f t="shared" si="389"/>
        <v>220</v>
      </c>
      <c r="AD630" s="219">
        <f t="shared" si="389"/>
        <v>220</v>
      </c>
    </row>
    <row r="631" spans="1:30" s="45" customFormat="1" outlineLevel="1">
      <c r="A631" s="45" t="s">
        <v>132</v>
      </c>
      <c r="B631" s="45" t="s">
        <v>353</v>
      </c>
      <c r="C631" s="42"/>
      <c r="D631" s="42">
        <f t="shared" ref="D631:AD631" si="390">D628*D629*D630</f>
        <v>50.6</v>
      </c>
      <c r="E631" s="42">
        <f t="shared" si="390"/>
        <v>50.6</v>
      </c>
      <c r="F631" s="42">
        <f t="shared" si="390"/>
        <v>50.6</v>
      </c>
      <c r="G631" s="42">
        <f t="shared" si="390"/>
        <v>51.106000000000002</v>
      </c>
      <c r="H631" s="42">
        <f t="shared" si="390"/>
        <v>51.617060000000002</v>
      </c>
      <c r="I631" s="42">
        <f t="shared" si="390"/>
        <v>52.133230599999997</v>
      </c>
      <c r="J631" s="42">
        <f t="shared" si="390"/>
        <v>52.654562906000002</v>
      </c>
      <c r="K631" s="42">
        <f t="shared" si="390"/>
        <v>53.181108535059998</v>
      </c>
      <c r="L631" s="42">
        <f t="shared" si="390"/>
        <v>53.712919620410602</v>
      </c>
      <c r="M631" s="42">
        <f t="shared" si="390"/>
        <v>54.250048816614701</v>
      </c>
      <c r="N631" s="42">
        <f t="shared" si="390"/>
        <v>54.792549304780849</v>
      </c>
      <c r="O631" s="42">
        <f t="shared" si="390"/>
        <v>55.340474797828662</v>
      </c>
      <c r="P631" s="42">
        <f t="shared" si="390"/>
        <v>55.893879545806954</v>
      </c>
      <c r="Q631" s="42">
        <f t="shared" si="390"/>
        <v>56.452818341265022</v>
      </c>
      <c r="R631" s="42">
        <f t="shared" si="390"/>
        <v>57.01734652467767</v>
      </c>
      <c r="S631" s="42">
        <f t="shared" si="390"/>
        <v>57.587519989924452</v>
      </c>
      <c r="T631" s="42">
        <f t="shared" si="390"/>
        <v>58.163395189823689</v>
      </c>
      <c r="U631" s="42">
        <f t="shared" si="390"/>
        <v>58.745029141721936</v>
      </c>
      <c r="V631" s="42">
        <f t="shared" si="390"/>
        <v>59.332479433139156</v>
      </c>
      <c r="W631" s="42">
        <f t="shared" si="390"/>
        <v>59.92580422747055</v>
      </c>
      <c r="X631" s="42">
        <f t="shared" si="390"/>
        <v>60.525062269745248</v>
      </c>
      <c r="Y631" s="42">
        <f t="shared" si="390"/>
        <v>61.130312892442703</v>
      </c>
      <c r="Z631" s="42">
        <f t="shared" si="390"/>
        <v>61.741616021367136</v>
      </c>
      <c r="AA631" s="42">
        <f t="shared" si="390"/>
        <v>62.359032181580808</v>
      </c>
      <c r="AB631" s="42">
        <f t="shared" si="390"/>
        <v>62.982622503396627</v>
      </c>
      <c r="AC631" s="42">
        <f t="shared" si="390"/>
        <v>63.612448728430586</v>
      </c>
      <c r="AD631" s="42">
        <f t="shared" si="390"/>
        <v>64.248573215714899</v>
      </c>
    </row>
    <row r="632" spans="1:30" s="45" customFormat="1" outlineLevel="1">
      <c r="A632" s="45" t="str">
        <f>A204</f>
        <v>moly concentrate sold - wet</v>
      </c>
      <c r="B632" s="45" t="str">
        <f>B204</f>
        <v>000 tonnes WET</v>
      </c>
      <c r="C632" s="42">
        <f>SUM(D632:AD632)</f>
        <v>73.818181818181813</v>
      </c>
      <c r="D632" s="42">
        <f t="shared" ref="D632:AD632" si="391">D204</f>
        <v>0</v>
      </c>
      <c r="E632" s="42">
        <f t="shared" si="391"/>
        <v>0</v>
      </c>
      <c r="F632" s="42">
        <f t="shared" si="391"/>
        <v>4.9704142011834307</v>
      </c>
      <c r="G632" s="42">
        <f t="shared" si="391"/>
        <v>9.3232920925228608</v>
      </c>
      <c r="H632" s="42">
        <f t="shared" si="391"/>
        <v>10.18181818181818</v>
      </c>
      <c r="I632" s="42">
        <f t="shared" si="391"/>
        <v>10.18181818181818</v>
      </c>
      <c r="J632" s="42">
        <f t="shared" si="391"/>
        <v>10.520710059171597</v>
      </c>
      <c r="K632" s="42">
        <f t="shared" si="391"/>
        <v>7.5723507261968788</v>
      </c>
      <c r="L632" s="42">
        <f t="shared" si="391"/>
        <v>4.4733727810650876</v>
      </c>
      <c r="M632" s="42">
        <f t="shared" si="391"/>
        <v>3.8181818181818179</v>
      </c>
      <c r="N632" s="42">
        <f t="shared" si="391"/>
        <v>3.8181818181818179</v>
      </c>
      <c r="O632" s="42">
        <f t="shared" si="391"/>
        <v>3.8181818181818179</v>
      </c>
      <c r="P632" s="42">
        <f t="shared" si="391"/>
        <v>5.13986013986014</v>
      </c>
      <c r="Q632" s="42">
        <f t="shared" si="391"/>
        <v>0</v>
      </c>
      <c r="R632" s="42">
        <f t="shared" si="391"/>
        <v>0</v>
      </c>
      <c r="S632" s="42">
        <f t="shared" si="391"/>
        <v>0</v>
      </c>
      <c r="T632" s="42">
        <f t="shared" si="391"/>
        <v>0</v>
      </c>
      <c r="U632" s="42">
        <f t="shared" si="391"/>
        <v>0</v>
      </c>
      <c r="V632" s="42">
        <f t="shared" si="391"/>
        <v>0</v>
      </c>
      <c r="W632" s="42">
        <f t="shared" si="391"/>
        <v>0</v>
      </c>
      <c r="X632" s="42">
        <f t="shared" si="391"/>
        <v>0</v>
      </c>
      <c r="Y632" s="42">
        <f t="shared" si="391"/>
        <v>0</v>
      </c>
      <c r="Z632" s="42">
        <f t="shared" si="391"/>
        <v>0</v>
      </c>
      <c r="AA632" s="42">
        <f t="shared" si="391"/>
        <v>0</v>
      </c>
      <c r="AB632" s="42">
        <f t="shared" si="391"/>
        <v>0</v>
      </c>
      <c r="AC632" s="42">
        <f t="shared" si="391"/>
        <v>0</v>
      </c>
      <c r="AD632" s="42">
        <f t="shared" si="391"/>
        <v>0</v>
      </c>
    </row>
    <row r="633" spans="1:30" s="45" customFormat="1" outlineLevel="1">
      <c r="A633" s="45" t="s">
        <v>360</v>
      </c>
      <c r="B633" s="45" t="s">
        <v>284</v>
      </c>
      <c r="C633" s="56">
        <f>SUM(D633:AD633)</f>
        <v>3.8962242113203662</v>
      </c>
      <c r="D633" s="289">
        <f t="shared" ref="D633:AD633" si="392">D631*D632/1000</f>
        <v>0</v>
      </c>
      <c r="E633" s="289">
        <f t="shared" si="392"/>
        <v>0</v>
      </c>
      <c r="F633" s="289">
        <f t="shared" si="392"/>
        <v>0.25150295857988159</v>
      </c>
      <c r="G633" s="289">
        <f t="shared" si="392"/>
        <v>0.47647616568047335</v>
      </c>
      <c r="H633" s="289">
        <f t="shared" si="392"/>
        <v>0.52555551999999994</v>
      </c>
      <c r="I633" s="289">
        <f t="shared" si="392"/>
        <v>0.53081107519999993</v>
      </c>
      <c r="J633" s="289">
        <f t="shared" si="392"/>
        <v>0.55396338962643787</v>
      </c>
      <c r="K633" s="289">
        <f t="shared" si="392"/>
        <v>0.4027060058354166</v>
      </c>
      <c r="L633" s="289">
        <f t="shared" si="392"/>
        <v>0.24027791262148168</v>
      </c>
      <c r="M633" s="289">
        <f t="shared" si="392"/>
        <v>0.20713655002707429</v>
      </c>
      <c r="N633" s="289">
        <f t="shared" si="392"/>
        <v>0.20920791552734505</v>
      </c>
      <c r="O633" s="289">
        <f t="shared" si="392"/>
        <v>0.21129999468261851</v>
      </c>
      <c r="P633" s="289">
        <f t="shared" si="392"/>
        <v>0.28728672353963713</v>
      </c>
      <c r="Q633" s="289">
        <f t="shared" si="392"/>
        <v>0</v>
      </c>
      <c r="R633" s="289">
        <f t="shared" si="392"/>
        <v>0</v>
      </c>
      <c r="S633" s="289">
        <f t="shared" si="392"/>
        <v>0</v>
      </c>
      <c r="T633" s="289">
        <f t="shared" si="392"/>
        <v>0</v>
      </c>
      <c r="U633" s="289">
        <f t="shared" si="392"/>
        <v>0</v>
      </c>
      <c r="V633" s="289">
        <f t="shared" si="392"/>
        <v>0</v>
      </c>
      <c r="W633" s="289">
        <f t="shared" si="392"/>
        <v>0</v>
      </c>
      <c r="X633" s="289">
        <f t="shared" si="392"/>
        <v>0</v>
      </c>
      <c r="Y633" s="289">
        <f t="shared" si="392"/>
        <v>0</v>
      </c>
      <c r="Z633" s="289">
        <f t="shared" si="392"/>
        <v>0</v>
      </c>
      <c r="AA633" s="289">
        <f t="shared" si="392"/>
        <v>0</v>
      </c>
      <c r="AB633" s="289">
        <f t="shared" si="392"/>
        <v>0</v>
      </c>
      <c r="AC633" s="289">
        <f t="shared" si="392"/>
        <v>0</v>
      </c>
      <c r="AD633" s="289">
        <f t="shared" si="392"/>
        <v>0</v>
      </c>
    </row>
    <row r="634" spans="1:30" s="45" customFormat="1" outlineLevel="1">
      <c r="A634" s="95"/>
      <c r="B634" s="96"/>
      <c r="C634" s="295"/>
      <c r="D634" s="42"/>
      <c r="E634" s="42"/>
      <c r="F634" s="42"/>
      <c r="G634" s="42"/>
      <c r="H634" s="42"/>
      <c r="I634" s="42"/>
      <c r="J634" s="42"/>
      <c r="K634" s="42"/>
      <c r="L634" s="42"/>
      <c r="M634" s="42"/>
      <c r="N634" s="42"/>
      <c r="O634" s="42"/>
      <c r="P634" s="42"/>
      <c r="Q634" s="42"/>
      <c r="R634" s="42"/>
      <c r="S634" s="42"/>
      <c r="T634" s="42"/>
      <c r="U634" s="42"/>
      <c r="V634" s="42"/>
      <c r="W634" s="42"/>
      <c r="X634" s="42"/>
      <c r="Y634" s="42"/>
      <c r="Z634" s="42"/>
      <c r="AA634" s="42"/>
      <c r="AB634" s="42"/>
      <c r="AC634" s="42"/>
      <c r="AD634" s="42"/>
    </row>
    <row r="635" spans="1:30" outlineLevel="1">
      <c r="A635" s="214" t="s">
        <v>456</v>
      </c>
      <c r="B635" s="214" t="s">
        <v>353</v>
      </c>
      <c r="C635" s="42"/>
      <c r="D635" s="219">
        <v>2</v>
      </c>
      <c r="E635" s="219">
        <f>D635</f>
        <v>2</v>
      </c>
      <c r="F635" s="219">
        <f t="shared" ref="F635:AD635" si="393">E635</f>
        <v>2</v>
      </c>
      <c r="G635" s="219">
        <f t="shared" si="393"/>
        <v>2</v>
      </c>
      <c r="H635" s="219">
        <f t="shared" si="393"/>
        <v>2</v>
      </c>
      <c r="I635" s="219">
        <f t="shared" si="393"/>
        <v>2</v>
      </c>
      <c r="J635" s="219">
        <f t="shared" si="393"/>
        <v>2</v>
      </c>
      <c r="K635" s="219">
        <f t="shared" si="393"/>
        <v>2</v>
      </c>
      <c r="L635" s="219">
        <f t="shared" si="393"/>
        <v>2</v>
      </c>
      <c r="M635" s="219">
        <f t="shared" si="393"/>
        <v>2</v>
      </c>
      <c r="N635" s="219">
        <f t="shared" si="393"/>
        <v>2</v>
      </c>
      <c r="O635" s="219">
        <f t="shared" si="393"/>
        <v>2</v>
      </c>
      <c r="P635" s="219">
        <f t="shared" si="393"/>
        <v>2</v>
      </c>
      <c r="Q635" s="219">
        <f t="shared" si="393"/>
        <v>2</v>
      </c>
      <c r="R635" s="219">
        <f t="shared" si="393"/>
        <v>2</v>
      </c>
      <c r="S635" s="219">
        <f t="shared" si="393"/>
        <v>2</v>
      </c>
      <c r="T635" s="219">
        <f t="shared" si="393"/>
        <v>2</v>
      </c>
      <c r="U635" s="219">
        <f t="shared" si="393"/>
        <v>2</v>
      </c>
      <c r="V635" s="219">
        <f t="shared" si="393"/>
        <v>2</v>
      </c>
      <c r="W635" s="219">
        <f t="shared" si="393"/>
        <v>2</v>
      </c>
      <c r="X635" s="219">
        <f t="shared" si="393"/>
        <v>2</v>
      </c>
      <c r="Y635" s="219">
        <f t="shared" si="393"/>
        <v>2</v>
      </c>
      <c r="Z635" s="219">
        <f t="shared" si="393"/>
        <v>2</v>
      </c>
      <c r="AA635" s="219">
        <f t="shared" si="393"/>
        <v>2</v>
      </c>
      <c r="AB635" s="219">
        <f t="shared" si="393"/>
        <v>2</v>
      </c>
      <c r="AC635" s="219">
        <f t="shared" si="393"/>
        <v>2</v>
      </c>
      <c r="AD635" s="219">
        <f t="shared" si="393"/>
        <v>2</v>
      </c>
    </row>
    <row r="636" spans="1:30" s="45" customFormat="1" outlineLevel="1">
      <c r="A636" s="45" t="s">
        <v>457</v>
      </c>
      <c r="B636" s="45" t="s">
        <v>284</v>
      </c>
      <c r="C636" s="42">
        <f>SUM(D636:AD636)</f>
        <v>0.14763636363636362</v>
      </c>
      <c r="D636" s="56">
        <f t="shared" ref="D636:AD636" si="394">D632*D635/1000</f>
        <v>0</v>
      </c>
      <c r="E636" s="56">
        <f t="shared" si="394"/>
        <v>0</v>
      </c>
      <c r="F636" s="56">
        <f t="shared" si="394"/>
        <v>9.9408284023668608E-3</v>
      </c>
      <c r="G636" s="56">
        <f t="shared" si="394"/>
        <v>1.8646584185045723E-2</v>
      </c>
      <c r="H636" s="56">
        <f t="shared" si="394"/>
        <v>2.0363636363636358E-2</v>
      </c>
      <c r="I636" s="56">
        <f t="shared" si="394"/>
        <v>2.0363636363636358E-2</v>
      </c>
      <c r="J636" s="56">
        <f t="shared" si="394"/>
        <v>2.1041420118343195E-2</v>
      </c>
      <c r="K636" s="56">
        <f t="shared" si="394"/>
        <v>1.5144701452393758E-2</v>
      </c>
      <c r="L636" s="56">
        <f t="shared" si="394"/>
        <v>8.9467455621301747E-3</v>
      </c>
      <c r="M636" s="56">
        <f t="shared" si="394"/>
        <v>7.6363636363636356E-3</v>
      </c>
      <c r="N636" s="56">
        <f t="shared" si="394"/>
        <v>7.6363636363636356E-3</v>
      </c>
      <c r="O636" s="56">
        <f t="shared" si="394"/>
        <v>7.6363636363636356E-3</v>
      </c>
      <c r="P636" s="56">
        <f t="shared" si="394"/>
        <v>1.0279720279720281E-2</v>
      </c>
      <c r="Q636" s="56">
        <f t="shared" si="394"/>
        <v>0</v>
      </c>
      <c r="R636" s="56">
        <f t="shared" si="394"/>
        <v>0</v>
      </c>
      <c r="S636" s="56">
        <f t="shared" si="394"/>
        <v>0</v>
      </c>
      <c r="T636" s="56">
        <f t="shared" si="394"/>
        <v>0</v>
      </c>
      <c r="U636" s="56">
        <f t="shared" si="394"/>
        <v>0</v>
      </c>
      <c r="V636" s="56">
        <f t="shared" si="394"/>
        <v>0</v>
      </c>
      <c r="W636" s="56">
        <f t="shared" si="394"/>
        <v>0</v>
      </c>
      <c r="X636" s="56">
        <f t="shared" si="394"/>
        <v>0</v>
      </c>
      <c r="Y636" s="56">
        <f t="shared" si="394"/>
        <v>0</v>
      </c>
      <c r="Z636" s="56">
        <f t="shared" si="394"/>
        <v>0</v>
      </c>
      <c r="AA636" s="56">
        <f t="shared" si="394"/>
        <v>0</v>
      </c>
      <c r="AB636" s="56">
        <f t="shared" si="394"/>
        <v>0</v>
      </c>
      <c r="AC636" s="56">
        <f t="shared" si="394"/>
        <v>0</v>
      </c>
      <c r="AD636" s="56">
        <f t="shared" si="394"/>
        <v>0</v>
      </c>
    </row>
    <row r="637" spans="1:30" s="45" customFormat="1" outlineLevel="1">
      <c r="A637" s="95"/>
      <c r="B637" s="96"/>
      <c r="C637" s="94"/>
      <c r="D637" s="56"/>
      <c r="E637" s="56"/>
      <c r="F637" s="56"/>
      <c r="G637" s="56"/>
      <c r="H637" s="56"/>
      <c r="I637" s="56"/>
      <c r="J637" s="56"/>
      <c r="K637" s="56"/>
      <c r="L637" s="56"/>
      <c r="M637" s="56"/>
      <c r="N637" s="56"/>
      <c r="O637" s="56"/>
      <c r="P637" s="56"/>
      <c r="Q637" s="56"/>
      <c r="R637" s="56"/>
      <c r="S637" s="56"/>
      <c r="T637" s="56"/>
      <c r="U637" s="56"/>
      <c r="V637" s="56"/>
      <c r="W637" s="56"/>
      <c r="X637" s="56"/>
      <c r="Y637" s="56"/>
      <c r="Z637" s="56"/>
      <c r="AA637" s="56"/>
      <c r="AB637" s="56"/>
      <c r="AC637" s="56"/>
      <c r="AD637" s="56"/>
    </row>
    <row r="638" spans="1:30" s="45" customFormat="1" outlineLevel="1">
      <c r="A638" s="45" t="s">
        <v>133</v>
      </c>
      <c r="B638" s="45" t="s">
        <v>284</v>
      </c>
      <c r="C638" s="42">
        <f>SUM(D638:AD638)</f>
        <v>4.0438605749567289</v>
      </c>
      <c r="D638" s="101">
        <f t="shared" ref="D638:AD638" si="395">D633+D636</f>
        <v>0</v>
      </c>
      <c r="E638" s="101">
        <f t="shared" si="395"/>
        <v>0</v>
      </c>
      <c r="F638" s="101">
        <f t="shared" si="395"/>
        <v>0.26144378698224846</v>
      </c>
      <c r="G638" s="101">
        <f t="shared" si="395"/>
        <v>0.49512274986551907</v>
      </c>
      <c r="H638" s="101">
        <f t="shared" si="395"/>
        <v>0.5459191563636363</v>
      </c>
      <c r="I638" s="101">
        <f t="shared" si="395"/>
        <v>0.55117471156363629</v>
      </c>
      <c r="J638" s="101">
        <f t="shared" si="395"/>
        <v>0.57500480974478108</v>
      </c>
      <c r="K638" s="101">
        <f t="shared" si="395"/>
        <v>0.41785070728781037</v>
      </c>
      <c r="L638" s="101">
        <f t="shared" si="395"/>
        <v>0.24922465818361186</v>
      </c>
      <c r="M638" s="101">
        <f t="shared" si="395"/>
        <v>0.21477291366343793</v>
      </c>
      <c r="N638" s="101">
        <f t="shared" si="395"/>
        <v>0.21684427916370869</v>
      </c>
      <c r="O638" s="101">
        <f t="shared" si="395"/>
        <v>0.21893635831898214</v>
      </c>
      <c r="P638" s="101">
        <f t="shared" si="395"/>
        <v>0.29756644381935743</v>
      </c>
      <c r="Q638" s="101">
        <f t="shared" si="395"/>
        <v>0</v>
      </c>
      <c r="R638" s="101">
        <f t="shared" si="395"/>
        <v>0</v>
      </c>
      <c r="S638" s="101">
        <f t="shared" si="395"/>
        <v>0</v>
      </c>
      <c r="T638" s="101">
        <f t="shared" si="395"/>
        <v>0</v>
      </c>
      <c r="U638" s="101">
        <f t="shared" si="395"/>
        <v>0</v>
      </c>
      <c r="V638" s="101">
        <f t="shared" si="395"/>
        <v>0</v>
      </c>
      <c r="W638" s="101">
        <f t="shared" si="395"/>
        <v>0</v>
      </c>
      <c r="X638" s="101">
        <f t="shared" si="395"/>
        <v>0</v>
      </c>
      <c r="Y638" s="101">
        <f t="shared" si="395"/>
        <v>0</v>
      </c>
      <c r="Z638" s="101">
        <f t="shared" si="395"/>
        <v>0</v>
      </c>
      <c r="AA638" s="101">
        <f t="shared" si="395"/>
        <v>0</v>
      </c>
      <c r="AB638" s="101">
        <f t="shared" si="395"/>
        <v>0</v>
      </c>
      <c r="AC638" s="101">
        <f t="shared" si="395"/>
        <v>0</v>
      </c>
      <c r="AD638" s="101">
        <f t="shared" si="395"/>
        <v>0</v>
      </c>
    </row>
    <row r="639" spans="1:30" s="45" customFormat="1" ht="18.649999999999999" customHeight="1" outlineLevel="1">
      <c r="A639" s="95"/>
      <c r="B639" s="96"/>
      <c r="C639" s="94"/>
      <c r="D639" s="44"/>
      <c r="E639" s="44"/>
      <c r="F639" s="44"/>
      <c r="G639" s="44"/>
      <c r="H639" s="44"/>
      <c r="I639" s="44"/>
      <c r="J639" s="44"/>
      <c r="K639" s="44"/>
      <c r="L639" s="44"/>
      <c r="M639" s="44"/>
      <c r="N639" s="44"/>
      <c r="O639" s="44"/>
      <c r="P639" s="44"/>
      <c r="Q639" s="44"/>
      <c r="R639" s="44"/>
      <c r="S639" s="44"/>
      <c r="T639" s="44"/>
      <c r="U639" s="44"/>
      <c r="V639" s="44"/>
      <c r="W639" s="44"/>
      <c r="X639" s="44"/>
      <c r="Y639" s="44"/>
      <c r="Z639" s="44"/>
      <c r="AA639" s="44"/>
      <c r="AB639" s="44"/>
      <c r="AC639" s="44"/>
      <c r="AD639" s="44"/>
    </row>
    <row r="640" spans="1:30" s="117" customFormat="1" ht="30.65" customHeight="1" outlineLevel="1">
      <c r="A640" s="127" t="s">
        <v>134</v>
      </c>
      <c r="B640" s="45" t="s">
        <v>284</v>
      </c>
      <c r="C640" s="125">
        <f>SUM(D640:AD640)</f>
        <v>187.39714272832299</v>
      </c>
      <c r="D640" s="128">
        <f t="shared" ref="D640:AD640" si="396">D624+D638</f>
        <v>0</v>
      </c>
      <c r="E640" s="128">
        <f t="shared" si="396"/>
        <v>0</v>
      </c>
      <c r="F640" s="128">
        <f t="shared" si="396"/>
        <v>6.7191622828784103</v>
      </c>
      <c r="G640" s="128">
        <f t="shared" si="396"/>
        <v>12.106042769716632</v>
      </c>
      <c r="H640" s="128">
        <f t="shared" si="396"/>
        <v>13.03071389872923</v>
      </c>
      <c r="I640" s="128">
        <f t="shared" si="396"/>
        <v>13.126904283073312</v>
      </c>
      <c r="J640" s="128">
        <f t="shared" si="396"/>
        <v>13.695828470010417</v>
      </c>
      <c r="K640" s="128">
        <f t="shared" si="396"/>
        <v>12.550847128718924</v>
      </c>
      <c r="L640" s="128">
        <f t="shared" si="396"/>
        <v>12.397226588185079</v>
      </c>
      <c r="M640" s="128">
        <f t="shared" si="396"/>
        <v>12.489017625002909</v>
      </c>
      <c r="N640" s="128">
        <f t="shared" si="396"/>
        <v>12.581684627580735</v>
      </c>
      <c r="O640" s="128">
        <f t="shared" si="396"/>
        <v>12.675278300184337</v>
      </c>
      <c r="P640" s="128">
        <f t="shared" si="396"/>
        <v>12.885797405166786</v>
      </c>
      <c r="Q640" s="128">
        <f t="shared" si="396"/>
        <v>12.305783643842542</v>
      </c>
      <c r="R640" s="128">
        <f t="shared" si="396"/>
        <v>12.316493064573038</v>
      </c>
      <c r="S640" s="128">
        <f t="shared" si="396"/>
        <v>12.408570970129162</v>
      </c>
      <c r="T640" s="128">
        <f t="shared" si="396"/>
        <v>16.107791670531476</v>
      </c>
      <c r="U640" s="128">
        <f t="shared" si="396"/>
        <v>0</v>
      </c>
      <c r="V640" s="128">
        <f t="shared" si="396"/>
        <v>0</v>
      </c>
      <c r="W640" s="128">
        <f t="shared" si="396"/>
        <v>0</v>
      </c>
      <c r="X640" s="128">
        <f t="shared" si="396"/>
        <v>0</v>
      </c>
      <c r="Y640" s="128">
        <f t="shared" si="396"/>
        <v>0</v>
      </c>
      <c r="Z640" s="128">
        <f t="shared" si="396"/>
        <v>0</v>
      </c>
      <c r="AA640" s="128">
        <f t="shared" si="396"/>
        <v>0</v>
      </c>
      <c r="AB640" s="128">
        <f t="shared" si="396"/>
        <v>0</v>
      </c>
      <c r="AC640" s="128">
        <f t="shared" si="396"/>
        <v>0</v>
      </c>
      <c r="AD640" s="128">
        <f t="shared" si="396"/>
        <v>0</v>
      </c>
    </row>
    <row r="641" spans="1:30" s="45" customFormat="1" outlineLevel="1">
      <c r="A641" s="75" t="str">
        <f>A640&amp;"/tonne milled"</f>
        <v>Product Logistics - copper &amp; moly/tonne milled</v>
      </c>
      <c r="B641" s="13" t="s">
        <v>303</v>
      </c>
      <c r="C641" s="57"/>
      <c r="D641" s="57">
        <f t="shared" ref="D641:AD641" si="397">IF(D$154=0,0,D640/D$154)</f>
        <v>0</v>
      </c>
      <c r="E641" s="57">
        <f t="shared" si="397"/>
        <v>0</v>
      </c>
      <c r="F641" s="57">
        <f t="shared" si="397"/>
        <v>1.3234713587487779</v>
      </c>
      <c r="G641" s="57">
        <f t="shared" si="397"/>
        <v>1.513255346214579</v>
      </c>
      <c r="H641" s="57">
        <f t="shared" si="397"/>
        <v>1.6288392373411538</v>
      </c>
      <c r="I641" s="57">
        <f t="shared" si="397"/>
        <v>1.640863035384164</v>
      </c>
      <c r="J641" s="57">
        <f t="shared" si="397"/>
        <v>1.6409748397247503</v>
      </c>
      <c r="K641" s="57">
        <f t="shared" si="397"/>
        <v>1.6398091725964425</v>
      </c>
      <c r="L641" s="57">
        <f t="shared" si="397"/>
        <v>1.5496533235231349</v>
      </c>
      <c r="M641" s="57">
        <f t="shared" si="397"/>
        <v>1.5611272031253636</v>
      </c>
      <c r="N641" s="57">
        <f t="shared" si="397"/>
        <v>1.5727105784475919</v>
      </c>
      <c r="O641" s="57">
        <f t="shared" si="397"/>
        <v>1.5844097875230421</v>
      </c>
      <c r="P641" s="57">
        <f t="shared" si="397"/>
        <v>1.6107246756458482</v>
      </c>
      <c r="Q641" s="57">
        <f t="shared" si="397"/>
        <v>1.5382229554803177</v>
      </c>
      <c r="R641" s="57">
        <f t="shared" si="397"/>
        <v>1.5395616330716297</v>
      </c>
      <c r="S641" s="57">
        <f t="shared" si="397"/>
        <v>1.5510713712661452</v>
      </c>
      <c r="T641" s="57">
        <f t="shared" si="397"/>
        <v>1.8051835492836998</v>
      </c>
      <c r="U641" s="57">
        <f t="shared" si="397"/>
        <v>0</v>
      </c>
      <c r="V641" s="57">
        <f t="shared" si="397"/>
        <v>0</v>
      </c>
      <c r="W641" s="57">
        <f t="shared" si="397"/>
        <v>0</v>
      </c>
      <c r="X641" s="57">
        <f t="shared" si="397"/>
        <v>0</v>
      </c>
      <c r="Y641" s="57">
        <f t="shared" si="397"/>
        <v>0</v>
      </c>
      <c r="Z641" s="57">
        <f t="shared" si="397"/>
        <v>0</v>
      </c>
      <c r="AA641" s="57">
        <f t="shared" si="397"/>
        <v>0</v>
      </c>
      <c r="AB641" s="57">
        <f t="shared" si="397"/>
        <v>0</v>
      </c>
      <c r="AC641" s="57">
        <f t="shared" si="397"/>
        <v>0</v>
      </c>
      <c r="AD641" s="57">
        <f t="shared" si="397"/>
        <v>0</v>
      </c>
    </row>
    <row r="642" spans="1:30" s="154" customFormat="1" ht="12" outlineLevel="1">
      <c r="A642" s="151" t="str">
        <f>A$98</f>
        <v>Forex: A$ = US$  - mid case</v>
      </c>
      <c r="B642" s="152" t="str">
        <f>B$98</f>
        <v>A$1.00 = US$ ....</v>
      </c>
      <c r="C642" s="153"/>
      <c r="D642" s="153">
        <f t="shared" ref="D642:AD642" si="398">D$98</f>
        <v>0.65</v>
      </c>
      <c r="E642" s="153">
        <f t="shared" si="398"/>
        <v>0.65</v>
      </c>
      <c r="F642" s="153">
        <f t="shared" si="398"/>
        <v>0.65</v>
      </c>
      <c r="G642" s="153">
        <f t="shared" si="398"/>
        <v>0.65</v>
      </c>
      <c r="H642" s="153">
        <f t="shared" si="398"/>
        <v>0.65</v>
      </c>
      <c r="I642" s="153">
        <f t="shared" si="398"/>
        <v>0.65</v>
      </c>
      <c r="J642" s="153">
        <f t="shared" si="398"/>
        <v>0.65</v>
      </c>
      <c r="K642" s="153">
        <f t="shared" si="398"/>
        <v>0.65</v>
      </c>
      <c r="L642" s="153">
        <f t="shared" si="398"/>
        <v>0.65</v>
      </c>
      <c r="M642" s="153">
        <f t="shared" si="398"/>
        <v>0.65</v>
      </c>
      <c r="N642" s="153">
        <f t="shared" si="398"/>
        <v>0.65</v>
      </c>
      <c r="O642" s="153">
        <f t="shared" si="398"/>
        <v>0.65</v>
      </c>
      <c r="P642" s="153">
        <f t="shared" si="398"/>
        <v>0.65</v>
      </c>
      <c r="Q642" s="153">
        <f t="shared" si="398"/>
        <v>0.65</v>
      </c>
      <c r="R642" s="153">
        <f t="shared" si="398"/>
        <v>0.65</v>
      </c>
      <c r="S642" s="153">
        <f t="shared" si="398"/>
        <v>0.65</v>
      </c>
      <c r="T642" s="153">
        <f t="shared" si="398"/>
        <v>0.65</v>
      </c>
      <c r="U642" s="153">
        <f t="shared" si="398"/>
        <v>0.65</v>
      </c>
      <c r="V642" s="153">
        <f t="shared" si="398"/>
        <v>0.65</v>
      </c>
      <c r="W642" s="153">
        <f t="shared" si="398"/>
        <v>0.65</v>
      </c>
      <c r="X642" s="153">
        <f t="shared" si="398"/>
        <v>0.65</v>
      </c>
      <c r="Y642" s="153">
        <f t="shared" si="398"/>
        <v>0.65</v>
      </c>
      <c r="Z642" s="153">
        <f t="shared" si="398"/>
        <v>0.65</v>
      </c>
      <c r="AA642" s="153">
        <f t="shared" si="398"/>
        <v>0.65</v>
      </c>
      <c r="AB642" s="153">
        <f t="shared" si="398"/>
        <v>0.65</v>
      </c>
      <c r="AC642" s="153">
        <f t="shared" si="398"/>
        <v>0.65</v>
      </c>
      <c r="AD642" s="153">
        <f t="shared" si="398"/>
        <v>0.65</v>
      </c>
    </row>
    <row r="643" spans="1:30" s="154" customFormat="1" ht="12" outlineLevel="1">
      <c r="A643" s="151" t="s">
        <v>383</v>
      </c>
      <c r="B643" s="152" t="s">
        <v>384</v>
      </c>
      <c r="C643" s="155">
        <f>SUM(D643:AD643)</f>
        <v>121.80814277340997</v>
      </c>
      <c r="D643" s="153">
        <f>D640*D642</f>
        <v>0</v>
      </c>
      <c r="E643" s="153">
        <f t="shared" ref="E643:AD643" si="399">E640*E642</f>
        <v>0</v>
      </c>
      <c r="F643" s="153">
        <f t="shared" si="399"/>
        <v>4.3674554838709669</v>
      </c>
      <c r="G643" s="153">
        <f t="shared" si="399"/>
        <v>7.8689278003158112</v>
      </c>
      <c r="H643" s="153">
        <f t="shared" si="399"/>
        <v>8.4699640341739997</v>
      </c>
      <c r="I643" s="153">
        <f t="shared" si="399"/>
        <v>8.5324877839976523</v>
      </c>
      <c r="J643" s="153">
        <f t="shared" si="399"/>
        <v>8.9022885055067711</v>
      </c>
      <c r="K643" s="153">
        <f t="shared" si="399"/>
        <v>8.1580506336673011</v>
      </c>
      <c r="L643" s="153">
        <f t="shared" si="399"/>
        <v>8.0581972823203021</v>
      </c>
      <c r="M643" s="153">
        <f t="shared" si="399"/>
        <v>8.1178614562518909</v>
      </c>
      <c r="N643" s="153">
        <f t="shared" si="399"/>
        <v>8.1780950079274781</v>
      </c>
      <c r="O643" s="153">
        <f t="shared" si="399"/>
        <v>8.2389308951198199</v>
      </c>
      <c r="P643" s="153">
        <f t="shared" si="399"/>
        <v>8.3757683133584102</v>
      </c>
      <c r="Q643" s="153">
        <f t="shared" si="399"/>
        <v>7.9987593684976526</v>
      </c>
      <c r="R643" s="153">
        <f t="shared" si="399"/>
        <v>8.0057204919724754</v>
      </c>
      <c r="S643" s="153">
        <f t="shared" si="399"/>
        <v>8.0655711305839564</v>
      </c>
      <c r="T643" s="153">
        <f t="shared" si="399"/>
        <v>10.47006458584546</v>
      </c>
      <c r="U643" s="153">
        <f t="shared" si="399"/>
        <v>0</v>
      </c>
      <c r="V643" s="153">
        <f t="shared" si="399"/>
        <v>0</v>
      </c>
      <c r="W643" s="153">
        <f t="shared" si="399"/>
        <v>0</v>
      </c>
      <c r="X643" s="153">
        <f t="shared" si="399"/>
        <v>0</v>
      </c>
      <c r="Y643" s="153">
        <f t="shared" si="399"/>
        <v>0</v>
      </c>
      <c r="Z643" s="153">
        <f t="shared" si="399"/>
        <v>0</v>
      </c>
      <c r="AA643" s="153">
        <f t="shared" si="399"/>
        <v>0</v>
      </c>
      <c r="AB643" s="153">
        <f t="shared" si="399"/>
        <v>0</v>
      </c>
      <c r="AC643" s="153">
        <f t="shared" si="399"/>
        <v>0</v>
      </c>
      <c r="AD643" s="153">
        <f t="shared" si="399"/>
        <v>0</v>
      </c>
    </row>
    <row r="644" spans="1:30" s="45" customFormat="1" outlineLevel="1">
      <c r="A644" s="59"/>
      <c r="C644" s="53"/>
      <c r="D644" s="44"/>
      <c r="E644" s="44"/>
      <c r="F644" s="44"/>
      <c r="G644" s="44"/>
      <c r="H644" s="44"/>
      <c r="I644" s="44"/>
      <c r="J644" s="44"/>
      <c r="K644" s="44"/>
      <c r="L644" s="44"/>
      <c r="M644" s="44"/>
      <c r="N644" s="44"/>
      <c r="O644" s="44"/>
      <c r="P644" s="44"/>
      <c r="Q644" s="44"/>
      <c r="R644" s="44"/>
      <c r="S644" s="44"/>
      <c r="T644" s="44"/>
      <c r="U644" s="44"/>
      <c r="V644" s="44"/>
      <c r="W644" s="44"/>
      <c r="X644" s="44"/>
      <c r="Y644" s="44"/>
      <c r="Z644" s="44"/>
      <c r="AA644" s="44"/>
      <c r="AB644" s="44"/>
      <c r="AC644" s="44"/>
      <c r="AD644" s="44"/>
    </row>
    <row r="645" spans="1:30" s="18" customFormat="1" ht="37.25" customHeight="1">
      <c r="A645" s="124" t="str">
        <f>"Operating Costs in A$ - "&amp;A3</f>
        <v>Operating Costs in A$ - Mid Case</v>
      </c>
      <c r="B645" s="32" t="s">
        <v>376</v>
      </c>
      <c r="C645" s="29">
        <f>SUM(D645:AD645)</f>
        <v>9678.1371427283211</v>
      </c>
      <c r="D645" s="296">
        <f t="shared" ref="D645:AD645" si="400">D460+D509+D574+D593+D603+D640</f>
        <v>3.8</v>
      </c>
      <c r="E645" s="296">
        <f t="shared" si="400"/>
        <v>211.9</v>
      </c>
      <c r="F645" s="296">
        <f t="shared" si="400"/>
        <v>434.41931612903227</v>
      </c>
      <c r="G645" s="296">
        <f t="shared" si="400"/>
        <v>497.07004276971668</v>
      </c>
      <c r="H645" s="296">
        <f t="shared" si="400"/>
        <v>636.39471389872915</v>
      </c>
      <c r="I645" s="296">
        <f t="shared" si="400"/>
        <v>639.89090428307316</v>
      </c>
      <c r="J645" s="296">
        <f t="shared" si="400"/>
        <v>739.03252077770253</v>
      </c>
      <c r="K645" s="296">
        <f t="shared" si="400"/>
        <v>703.74215482102659</v>
      </c>
      <c r="L645" s="296">
        <f t="shared" si="400"/>
        <v>709.66122658818495</v>
      </c>
      <c r="M645" s="296">
        <f t="shared" si="400"/>
        <v>714.6530176250028</v>
      </c>
      <c r="N645" s="296">
        <f t="shared" si="400"/>
        <v>719.64568462758064</v>
      </c>
      <c r="O645" s="296">
        <f t="shared" si="400"/>
        <v>724.63927830018417</v>
      </c>
      <c r="P645" s="296">
        <f t="shared" si="400"/>
        <v>704.44979740516658</v>
      </c>
      <c r="Q645" s="296">
        <f t="shared" si="400"/>
        <v>554.71978364384245</v>
      </c>
      <c r="R645" s="296">
        <f t="shared" si="400"/>
        <v>558.38049306457287</v>
      </c>
      <c r="S645" s="296">
        <f t="shared" si="400"/>
        <v>496.07257097012911</v>
      </c>
      <c r="T645" s="296">
        <f t="shared" si="400"/>
        <v>629.66563782437765</v>
      </c>
      <c r="U645" s="296">
        <f t="shared" si="400"/>
        <v>0</v>
      </c>
      <c r="V645" s="296">
        <f t="shared" si="400"/>
        <v>0</v>
      </c>
      <c r="W645" s="296">
        <f t="shared" si="400"/>
        <v>0</v>
      </c>
      <c r="X645" s="296">
        <f t="shared" si="400"/>
        <v>0</v>
      </c>
      <c r="Y645" s="296">
        <f t="shared" si="400"/>
        <v>0</v>
      </c>
      <c r="Z645" s="296">
        <f t="shared" si="400"/>
        <v>0</v>
      </c>
      <c r="AA645" s="296">
        <f t="shared" si="400"/>
        <v>0</v>
      </c>
      <c r="AB645" s="296">
        <f t="shared" si="400"/>
        <v>0</v>
      </c>
      <c r="AC645" s="296">
        <f t="shared" si="400"/>
        <v>0</v>
      </c>
      <c r="AD645" s="296">
        <f t="shared" si="400"/>
        <v>0</v>
      </c>
    </row>
    <row r="646" spans="1:30" s="45" customFormat="1" outlineLevel="1">
      <c r="A646" s="75" t="str">
        <f>A645&amp;"/tonne milled"</f>
        <v>Operating Costs in A$ - Mid Case/tonne milled</v>
      </c>
      <c r="B646" s="13" t="s">
        <v>303</v>
      </c>
      <c r="C646" s="42">
        <f>IF(C$154=0,0,C645/C$154)</f>
        <v>82.018111379053579</v>
      </c>
      <c r="D646" s="42">
        <f t="shared" ref="D646:AD646" si="401">IF(D$154=0,0,D645/D$154)</f>
        <v>0</v>
      </c>
      <c r="E646" s="42">
        <f t="shared" si="401"/>
        <v>0</v>
      </c>
      <c r="F646" s="42">
        <f t="shared" si="401"/>
        <v>85.567441055718476</v>
      </c>
      <c r="G646" s="42">
        <f t="shared" si="401"/>
        <v>62.133755346214585</v>
      </c>
      <c r="H646" s="42">
        <f t="shared" si="401"/>
        <v>79.549339237341144</v>
      </c>
      <c r="I646" s="42">
        <f t="shared" si="401"/>
        <v>79.986363035384144</v>
      </c>
      <c r="J646" s="42">
        <f t="shared" si="401"/>
        <v>88.547675300554218</v>
      </c>
      <c r="K646" s="42">
        <f t="shared" si="401"/>
        <v>91.946211182646692</v>
      </c>
      <c r="L646" s="42">
        <f t="shared" si="401"/>
        <v>88.707653323523118</v>
      </c>
      <c r="M646" s="42">
        <f t="shared" si="401"/>
        <v>89.33162720312535</v>
      </c>
      <c r="N646" s="42">
        <f t="shared" si="401"/>
        <v>89.955710578447579</v>
      </c>
      <c r="O646" s="42">
        <f t="shared" si="401"/>
        <v>90.579909787523022</v>
      </c>
      <c r="P646" s="42">
        <f t="shared" si="401"/>
        <v>88.056224675645822</v>
      </c>
      <c r="Q646" s="42">
        <f t="shared" si="401"/>
        <v>69.339972955480306</v>
      </c>
      <c r="R646" s="42">
        <f t="shared" si="401"/>
        <v>69.797561633071609</v>
      </c>
      <c r="S646" s="42">
        <f t="shared" si="401"/>
        <v>62.009071371266138</v>
      </c>
      <c r="T646" s="42">
        <f t="shared" si="401"/>
        <v>70.565976652731976</v>
      </c>
      <c r="U646" s="42">
        <f t="shared" si="401"/>
        <v>0</v>
      </c>
      <c r="V646" s="42">
        <f t="shared" si="401"/>
        <v>0</v>
      </c>
      <c r="W646" s="42">
        <f t="shared" si="401"/>
        <v>0</v>
      </c>
      <c r="X646" s="42">
        <f t="shared" si="401"/>
        <v>0</v>
      </c>
      <c r="Y646" s="42">
        <f t="shared" si="401"/>
        <v>0</v>
      </c>
      <c r="Z646" s="42">
        <f t="shared" si="401"/>
        <v>0</v>
      </c>
      <c r="AA646" s="42">
        <f t="shared" si="401"/>
        <v>0</v>
      </c>
      <c r="AB646" s="42">
        <f t="shared" si="401"/>
        <v>0</v>
      </c>
      <c r="AC646" s="42">
        <f t="shared" si="401"/>
        <v>0</v>
      </c>
      <c r="AD646" s="42">
        <f t="shared" si="401"/>
        <v>0</v>
      </c>
    </row>
    <row r="647" spans="1:30" s="45" customFormat="1" outlineLevel="1">
      <c r="A647" s="75"/>
      <c r="B647" s="13"/>
      <c r="C647" s="57"/>
      <c r="D647" s="57"/>
      <c r="E647" s="57"/>
      <c r="F647" s="57"/>
      <c r="G647" s="57"/>
      <c r="H647" s="57"/>
      <c r="I647" s="57"/>
      <c r="J647" s="57"/>
      <c r="K647" s="57"/>
      <c r="L647" s="57"/>
      <c r="M647" s="57"/>
      <c r="N647" s="57"/>
      <c r="O647" s="57"/>
      <c r="P647" s="57"/>
      <c r="Q647" s="57"/>
      <c r="R647" s="57"/>
      <c r="S647" s="57"/>
      <c r="T647" s="57"/>
      <c r="U647" s="57"/>
      <c r="V647" s="57"/>
      <c r="W647" s="57"/>
      <c r="X647" s="57"/>
      <c r="Y647" s="57"/>
      <c r="Z647" s="57"/>
      <c r="AA647" s="57"/>
      <c r="AB647" s="57"/>
      <c r="AC647" s="57"/>
      <c r="AD647" s="57"/>
    </row>
    <row r="648" spans="1:30" outlineLevel="1">
      <c r="A648" s="144" t="str">
        <f>A$98</f>
        <v>Forex: A$ = US$  - mid case</v>
      </c>
      <c r="B648" s="142" t="str">
        <f>B$98</f>
        <v>A$1.00 = US$ ....</v>
      </c>
      <c r="C648" s="57"/>
      <c r="D648" s="57">
        <f t="shared" ref="D648:AD648" si="402">D$98</f>
        <v>0.65</v>
      </c>
      <c r="E648" s="57">
        <f t="shared" si="402"/>
        <v>0.65</v>
      </c>
      <c r="F648" s="57">
        <f t="shared" si="402"/>
        <v>0.65</v>
      </c>
      <c r="G648" s="57">
        <f t="shared" si="402"/>
        <v>0.65</v>
      </c>
      <c r="H648" s="57">
        <f t="shared" si="402"/>
        <v>0.65</v>
      </c>
      <c r="I648" s="57">
        <f t="shared" si="402"/>
        <v>0.65</v>
      </c>
      <c r="J648" s="57">
        <f t="shared" si="402"/>
        <v>0.65</v>
      </c>
      <c r="K648" s="57">
        <f t="shared" si="402"/>
        <v>0.65</v>
      </c>
      <c r="L648" s="57">
        <f t="shared" si="402"/>
        <v>0.65</v>
      </c>
      <c r="M648" s="57">
        <f t="shared" si="402"/>
        <v>0.65</v>
      </c>
      <c r="N648" s="57">
        <f t="shared" si="402"/>
        <v>0.65</v>
      </c>
      <c r="O648" s="57">
        <f t="shared" si="402"/>
        <v>0.65</v>
      </c>
      <c r="P648" s="57">
        <f t="shared" si="402"/>
        <v>0.65</v>
      </c>
      <c r="Q648" s="57">
        <f t="shared" si="402"/>
        <v>0.65</v>
      </c>
      <c r="R648" s="57">
        <f t="shared" si="402"/>
        <v>0.65</v>
      </c>
      <c r="S648" s="57">
        <f t="shared" si="402"/>
        <v>0.65</v>
      </c>
      <c r="T648" s="57">
        <f t="shared" si="402"/>
        <v>0.65</v>
      </c>
      <c r="U648" s="57">
        <f t="shared" si="402"/>
        <v>0.65</v>
      </c>
      <c r="V648" s="57">
        <f t="shared" si="402"/>
        <v>0.65</v>
      </c>
      <c r="W648" s="57">
        <f t="shared" si="402"/>
        <v>0.65</v>
      </c>
      <c r="X648" s="57">
        <f t="shared" si="402"/>
        <v>0.65</v>
      </c>
      <c r="Y648" s="57">
        <f t="shared" si="402"/>
        <v>0.65</v>
      </c>
      <c r="Z648" s="57">
        <f t="shared" si="402"/>
        <v>0.65</v>
      </c>
      <c r="AA648" s="57">
        <f t="shared" si="402"/>
        <v>0.65</v>
      </c>
      <c r="AB648" s="57">
        <f t="shared" si="402"/>
        <v>0.65</v>
      </c>
      <c r="AC648" s="57">
        <f t="shared" si="402"/>
        <v>0.65</v>
      </c>
      <c r="AD648" s="57">
        <f t="shared" si="402"/>
        <v>0.65</v>
      </c>
    </row>
    <row r="649" spans="1:30" s="25" customFormat="1" ht="37.25" customHeight="1">
      <c r="A649" s="26" t="str">
        <f>"Cashstream 3: Operating Costs - "&amp;A3</f>
        <v>Cashstream 3: Operating Costs - Mid Case</v>
      </c>
      <c r="B649" s="32" t="s">
        <v>100</v>
      </c>
      <c r="C649" s="27">
        <f>SUM(D649:AD649)</f>
        <v>6290.7891427734094</v>
      </c>
      <c r="D649" s="129">
        <f t="shared" ref="D649:AD649" si="403">D645*D648</f>
        <v>2.4699999999999998</v>
      </c>
      <c r="E649" s="129">
        <f t="shared" si="403"/>
        <v>137.73500000000001</v>
      </c>
      <c r="F649" s="129">
        <f t="shared" si="403"/>
        <v>282.372555483871</v>
      </c>
      <c r="G649" s="129">
        <f t="shared" si="403"/>
        <v>323.09552780031584</v>
      </c>
      <c r="H649" s="129">
        <f t="shared" si="403"/>
        <v>413.65656403417398</v>
      </c>
      <c r="I649" s="129">
        <f t="shared" si="403"/>
        <v>415.92908778399755</v>
      </c>
      <c r="J649" s="129">
        <f t="shared" si="403"/>
        <v>480.37113850550668</v>
      </c>
      <c r="K649" s="129">
        <f t="shared" si="403"/>
        <v>457.43240063366727</v>
      </c>
      <c r="L649" s="129">
        <f t="shared" si="403"/>
        <v>461.2797972823202</v>
      </c>
      <c r="M649" s="129">
        <f t="shared" si="403"/>
        <v>464.52446145625186</v>
      </c>
      <c r="N649" s="129">
        <f t="shared" si="403"/>
        <v>467.76969500792745</v>
      </c>
      <c r="O649" s="129">
        <f t="shared" si="403"/>
        <v>471.01553089511975</v>
      </c>
      <c r="P649" s="129">
        <f t="shared" si="403"/>
        <v>457.8923683133583</v>
      </c>
      <c r="Q649" s="129">
        <f t="shared" si="403"/>
        <v>360.56785936849758</v>
      </c>
      <c r="R649" s="129">
        <f t="shared" si="403"/>
        <v>362.94732049197239</v>
      </c>
      <c r="S649" s="129">
        <f t="shared" si="403"/>
        <v>322.44717113058391</v>
      </c>
      <c r="T649" s="129">
        <f t="shared" si="403"/>
        <v>409.28266458584551</v>
      </c>
      <c r="U649" s="129">
        <f t="shared" si="403"/>
        <v>0</v>
      </c>
      <c r="V649" s="129">
        <f t="shared" si="403"/>
        <v>0</v>
      </c>
      <c r="W649" s="129">
        <f t="shared" si="403"/>
        <v>0</v>
      </c>
      <c r="X649" s="129">
        <f t="shared" si="403"/>
        <v>0</v>
      </c>
      <c r="Y649" s="129">
        <f t="shared" si="403"/>
        <v>0</v>
      </c>
      <c r="Z649" s="129">
        <f t="shared" si="403"/>
        <v>0</v>
      </c>
      <c r="AA649" s="129">
        <f t="shared" si="403"/>
        <v>0</v>
      </c>
      <c r="AB649" s="129">
        <f t="shared" si="403"/>
        <v>0</v>
      </c>
      <c r="AC649" s="129">
        <f t="shared" si="403"/>
        <v>0</v>
      </c>
      <c r="AD649" s="129">
        <f t="shared" si="403"/>
        <v>0</v>
      </c>
    </row>
    <row r="650" spans="1:30" s="45" customFormat="1" outlineLevel="1">
      <c r="A650" s="75"/>
      <c r="B650" s="13"/>
      <c r="C650" s="57"/>
      <c r="D650" s="57"/>
      <c r="E650" s="57"/>
      <c r="F650" s="57"/>
      <c r="G650" s="57"/>
      <c r="H650" s="57"/>
      <c r="I650" s="57"/>
      <c r="J650" s="57"/>
      <c r="K650" s="57"/>
      <c r="L650" s="57"/>
      <c r="M650" s="57"/>
      <c r="N650" s="57"/>
      <c r="O650" s="57"/>
      <c r="P650" s="57"/>
      <c r="Q650" s="57"/>
      <c r="R650" s="57"/>
      <c r="S650" s="57"/>
      <c r="T650" s="57"/>
      <c r="U650" s="57"/>
      <c r="V650" s="57"/>
      <c r="W650" s="57"/>
      <c r="X650" s="57"/>
      <c r="Y650" s="57"/>
      <c r="Z650" s="57"/>
      <c r="AA650" s="57"/>
      <c r="AB650" s="57"/>
      <c r="AC650" s="57"/>
      <c r="AD650" s="57"/>
    </row>
    <row r="651" spans="1:30">
      <c r="A651" s="143" t="s">
        <v>148</v>
      </c>
      <c r="B651" s="13" t="s">
        <v>100</v>
      </c>
      <c r="C651" s="42">
        <f>SUM(D651:AD651)</f>
        <v>7097.9986947000116</v>
      </c>
      <c r="D651" s="42">
        <f t="shared" ref="D651:AD651" si="404">D649+D698</f>
        <v>2.4699999999999998</v>
      </c>
      <c r="E651" s="42">
        <f t="shared" si="404"/>
        <v>137.73500000000001</v>
      </c>
      <c r="F651" s="42">
        <f t="shared" si="404"/>
        <v>314.5490990482254</v>
      </c>
      <c r="G651" s="42">
        <f t="shared" si="404"/>
        <v>380.93602150285705</v>
      </c>
      <c r="H651" s="42">
        <f t="shared" si="404"/>
        <v>475.60406649442291</v>
      </c>
      <c r="I651" s="42">
        <f t="shared" si="404"/>
        <v>477.87127055674154</v>
      </c>
      <c r="J651" s="42">
        <f t="shared" si="404"/>
        <v>544.50104600790144</v>
      </c>
      <c r="K651" s="42">
        <f t="shared" si="404"/>
        <v>514.21348763955973</v>
      </c>
      <c r="L651" s="42">
        <f t="shared" si="404"/>
        <v>514.80078537417728</v>
      </c>
      <c r="M651" s="42">
        <f t="shared" si="404"/>
        <v>517.59557175826308</v>
      </c>
      <c r="N651" s="42">
        <f t="shared" si="404"/>
        <v>520.8355054651696</v>
      </c>
      <c r="O651" s="42">
        <f t="shared" si="404"/>
        <v>524.07598850914519</v>
      </c>
      <c r="P651" s="42">
        <f t="shared" si="404"/>
        <v>512.31910158777964</v>
      </c>
      <c r="Q651" s="42">
        <f t="shared" si="404"/>
        <v>408.67788496273448</v>
      </c>
      <c r="R651" s="42">
        <f t="shared" si="404"/>
        <v>410.7374632234621</v>
      </c>
      <c r="S651" s="42">
        <f t="shared" si="404"/>
        <v>370.23192730459857</v>
      </c>
      <c r="T651" s="42">
        <f t="shared" si="404"/>
        <v>470.84447526497331</v>
      </c>
      <c r="U651" s="42">
        <f t="shared" si="404"/>
        <v>0</v>
      </c>
      <c r="V651" s="42">
        <f t="shared" si="404"/>
        <v>0</v>
      </c>
      <c r="W651" s="42">
        <f t="shared" si="404"/>
        <v>0</v>
      </c>
      <c r="X651" s="42">
        <f t="shared" si="404"/>
        <v>0</v>
      </c>
      <c r="Y651" s="42">
        <f t="shared" si="404"/>
        <v>0</v>
      </c>
      <c r="Z651" s="42">
        <f t="shared" si="404"/>
        <v>0</v>
      </c>
      <c r="AA651" s="42">
        <f t="shared" si="404"/>
        <v>0</v>
      </c>
      <c r="AB651" s="42">
        <f t="shared" si="404"/>
        <v>0</v>
      </c>
      <c r="AC651" s="42">
        <f t="shared" si="404"/>
        <v>0</v>
      </c>
      <c r="AD651" s="42">
        <f t="shared" si="404"/>
        <v>0</v>
      </c>
    </row>
    <row r="652" spans="1:30">
      <c r="A652" s="143" t="str">
        <f>A318</f>
        <v>Minor metal credits</v>
      </c>
      <c r="B652" s="69" t="str">
        <f>B318</f>
        <v>US$ millions Real</v>
      </c>
      <c r="C652" s="42">
        <f>SUM(D652:AD652)</f>
        <v>2455.5143090838042</v>
      </c>
      <c r="D652" s="42">
        <f t="shared" ref="D652:AD652" si="405">D318</f>
        <v>0</v>
      </c>
      <c r="E652" s="42">
        <f t="shared" si="405"/>
        <v>0</v>
      </c>
      <c r="F652" s="42">
        <f t="shared" si="405"/>
        <v>134.97527433474636</v>
      </c>
      <c r="G652" s="42">
        <f t="shared" si="405"/>
        <v>249.10537197376607</v>
      </c>
      <c r="H652" s="42">
        <f t="shared" si="405"/>
        <v>270.07277067424536</v>
      </c>
      <c r="I652" s="42">
        <f t="shared" si="405"/>
        <v>270.07277067424536</v>
      </c>
      <c r="J652" s="42">
        <f t="shared" si="405"/>
        <v>279.27563028797806</v>
      </c>
      <c r="K652" s="42">
        <f t="shared" si="405"/>
        <v>213.75539238995981</v>
      </c>
      <c r="L652" s="42">
        <f t="shared" si="405"/>
        <v>154.01823241245455</v>
      </c>
      <c r="M652" s="42">
        <f t="shared" si="405"/>
        <v>142.3688663807074</v>
      </c>
      <c r="N652" s="42">
        <f t="shared" si="405"/>
        <v>142.3688663807074</v>
      </c>
      <c r="O652" s="42">
        <f t="shared" si="405"/>
        <v>142.3688663807074</v>
      </c>
      <c r="P652" s="42">
        <f t="shared" si="405"/>
        <v>166.91261377979032</v>
      </c>
      <c r="Q652" s="42">
        <f t="shared" si="405"/>
        <v>68.015536916845832</v>
      </c>
      <c r="R652" s="42">
        <f t="shared" si="405"/>
        <v>67.570842443729902</v>
      </c>
      <c r="S652" s="42">
        <f t="shared" si="405"/>
        <v>67.570842443729902</v>
      </c>
      <c r="T652" s="42">
        <f t="shared" si="405"/>
        <v>87.062431610190472</v>
      </c>
      <c r="U652" s="42">
        <f t="shared" si="405"/>
        <v>0</v>
      </c>
      <c r="V652" s="42">
        <f t="shared" si="405"/>
        <v>0</v>
      </c>
      <c r="W652" s="42">
        <f t="shared" si="405"/>
        <v>0</v>
      </c>
      <c r="X652" s="42">
        <f t="shared" si="405"/>
        <v>0</v>
      </c>
      <c r="Y652" s="42">
        <f t="shared" si="405"/>
        <v>0</v>
      </c>
      <c r="Z652" s="42">
        <f t="shared" si="405"/>
        <v>0</v>
      </c>
      <c r="AA652" s="42">
        <f t="shared" si="405"/>
        <v>0</v>
      </c>
      <c r="AB652" s="42">
        <f t="shared" si="405"/>
        <v>0</v>
      </c>
      <c r="AC652" s="42">
        <f t="shared" si="405"/>
        <v>0</v>
      </c>
      <c r="AD652" s="42">
        <f t="shared" si="405"/>
        <v>0</v>
      </c>
    </row>
    <row r="653" spans="1:30">
      <c r="A653" s="143" t="s">
        <v>525</v>
      </c>
      <c r="B653" s="13" t="s">
        <v>82</v>
      </c>
      <c r="C653" s="42">
        <f>SUM(D653:AD653)</f>
        <v>4642.484385616207</v>
      </c>
      <c r="D653" s="70">
        <f t="shared" ref="D653:AD653" si="406">D651-D652</f>
        <v>2.4699999999999998</v>
      </c>
      <c r="E653" s="70">
        <f t="shared" si="406"/>
        <v>137.73500000000001</v>
      </c>
      <c r="F653" s="70">
        <f t="shared" si="406"/>
        <v>179.57382471347904</v>
      </c>
      <c r="G653" s="70">
        <f t="shared" si="406"/>
        <v>131.83064952909098</v>
      </c>
      <c r="H653" s="70">
        <f t="shared" si="406"/>
        <v>205.53129582017755</v>
      </c>
      <c r="I653" s="70">
        <f t="shared" si="406"/>
        <v>207.79849988249617</v>
      </c>
      <c r="J653" s="70">
        <f t="shared" si="406"/>
        <v>265.22541571992338</v>
      </c>
      <c r="K653" s="70">
        <f t="shared" si="406"/>
        <v>300.45809524959992</v>
      </c>
      <c r="L653" s="70">
        <f t="shared" si="406"/>
        <v>360.78255296172273</v>
      </c>
      <c r="M653" s="70">
        <f t="shared" si="406"/>
        <v>375.22670537755567</v>
      </c>
      <c r="N653" s="70">
        <f t="shared" si="406"/>
        <v>378.4666390844622</v>
      </c>
      <c r="O653" s="70">
        <f t="shared" si="406"/>
        <v>381.70712212843779</v>
      </c>
      <c r="P653" s="70">
        <f t="shared" si="406"/>
        <v>345.40648780798932</v>
      </c>
      <c r="Q653" s="70">
        <f t="shared" si="406"/>
        <v>340.66234804588862</v>
      </c>
      <c r="R653" s="70">
        <f t="shared" si="406"/>
        <v>343.16662077973217</v>
      </c>
      <c r="S653" s="70">
        <f t="shared" si="406"/>
        <v>302.66108486086864</v>
      </c>
      <c r="T653" s="70">
        <f t="shared" si="406"/>
        <v>383.78204365478285</v>
      </c>
      <c r="U653" s="70">
        <f t="shared" si="406"/>
        <v>0</v>
      </c>
      <c r="V653" s="70">
        <f t="shared" si="406"/>
        <v>0</v>
      </c>
      <c r="W653" s="70">
        <f t="shared" si="406"/>
        <v>0</v>
      </c>
      <c r="X653" s="70">
        <f t="shared" si="406"/>
        <v>0</v>
      </c>
      <c r="Y653" s="70">
        <f t="shared" si="406"/>
        <v>0</v>
      </c>
      <c r="Z653" s="70">
        <f t="shared" si="406"/>
        <v>0</v>
      </c>
      <c r="AA653" s="70">
        <f t="shared" si="406"/>
        <v>0</v>
      </c>
      <c r="AB653" s="70">
        <f t="shared" si="406"/>
        <v>0</v>
      </c>
      <c r="AC653" s="70">
        <f t="shared" si="406"/>
        <v>0</v>
      </c>
      <c r="AD653" s="70">
        <f t="shared" si="406"/>
        <v>0</v>
      </c>
    </row>
    <row r="654" spans="1:30" ht="13.5" thickBot="1">
      <c r="A654" s="143" t="str">
        <f>A170</f>
        <v>copper conc - contained copper - mid case</v>
      </c>
      <c r="B654" s="69" t="str">
        <f>B170</f>
        <v>000 tonnes Cu</v>
      </c>
      <c r="C654" s="42">
        <f>SUM(D654:AD654)</f>
        <v>954.6239999999998</v>
      </c>
      <c r="D654" s="42">
        <f t="shared" ref="D654:AD654" si="407">D170</f>
        <v>0</v>
      </c>
      <c r="E654" s="42">
        <f t="shared" si="407"/>
        <v>0</v>
      </c>
      <c r="F654" s="42">
        <f t="shared" si="407"/>
        <v>42.889846153846143</v>
      </c>
      <c r="G654" s="42">
        <f t="shared" si="407"/>
        <v>67.583999999999989</v>
      </c>
      <c r="H654" s="42">
        <f t="shared" si="407"/>
        <v>67.583999999999989</v>
      </c>
      <c r="I654" s="42">
        <f t="shared" si="407"/>
        <v>67.583999999999989</v>
      </c>
      <c r="J654" s="42">
        <f t="shared" si="407"/>
        <v>70.508307692307682</v>
      </c>
      <c r="K654" s="42">
        <f t="shared" si="407"/>
        <v>62.95384615384615</v>
      </c>
      <c r="L654" s="42">
        <f t="shared" si="407"/>
        <v>64.064000000000007</v>
      </c>
      <c r="M654" s="42">
        <f t="shared" si="407"/>
        <v>64.064000000000007</v>
      </c>
      <c r="N654" s="42">
        <f t="shared" si="407"/>
        <v>64.064000000000007</v>
      </c>
      <c r="O654" s="42">
        <f t="shared" si="407"/>
        <v>64.064000000000007</v>
      </c>
      <c r="P654" s="42">
        <f t="shared" si="407"/>
        <v>64.307692307692292</v>
      </c>
      <c r="Q654" s="42">
        <f t="shared" si="407"/>
        <v>61.951999999999998</v>
      </c>
      <c r="R654" s="42">
        <f t="shared" si="407"/>
        <v>61.951999999999998</v>
      </c>
      <c r="S654" s="42">
        <f t="shared" si="407"/>
        <v>61.951999999999998</v>
      </c>
      <c r="T654" s="42">
        <f t="shared" si="407"/>
        <v>69.100307692307695</v>
      </c>
      <c r="U654" s="42">
        <f t="shared" si="407"/>
        <v>0</v>
      </c>
      <c r="V654" s="42">
        <f t="shared" si="407"/>
        <v>0</v>
      </c>
      <c r="W654" s="42">
        <f t="shared" si="407"/>
        <v>0</v>
      </c>
      <c r="X654" s="42">
        <f t="shared" si="407"/>
        <v>0</v>
      </c>
      <c r="Y654" s="42">
        <f t="shared" si="407"/>
        <v>0</v>
      </c>
      <c r="Z654" s="42">
        <f t="shared" si="407"/>
        <v>0</v>
      </c>
      <c r="AA654" s="42">
        <f t="shared" si="407"/>
        <v>0</v>
      </c>
      <c r="AB654" s="42">
        <f t="shared" si="407"/>
        <v>0</v>
      </c>
      <c r="AC654" s="42">
        <f t="shared" si="407"/>
        <v>0</v>
      </c>
      <c r="AD654" s="42">
        <f t="shared" si="407"/>
        <v>0</v>
      </c>
    </row>
    <row r="655" spans="1:30" s="14" customFormat="1" ht="13.5" thickBot="1">
      <c r="A655" s="159" t="str">
        <f>A653</f>
        <v>Opex plus Royalty less Credits - mid case</v>
      </c>
      <c r="B655" s="14" t="s">
        <v>93</v>
      </c>
      <c r="C655" s="158">
        <f t="shared" ref="C655:AD655" si="408">IF(C170=0,0,C653/C170/2.2046)</f>
        <v>2.2059125929741081</v>
      </c>
      <c r="D655" s="87">
        <f t="shared" si="408"/>
        <v>0</v>
      </c>
      <c r="E655" s="87">
        <f t="shared" si="408"/>
        <v>0</v>
      </c>
      <c r="F655" s="87">
        <f t="shared" si="408"/>
        <v>1.899147697070696</v>
      </c>
      <c r="G655" s="87">
        <f t="shared" si="408"/>
        <v>0.88479507504111876</v>
      </c>
      <c r="H655" s="87">
        <f t="shared" si="408"/>
        <v>1.3794446053183025</v>
      </c>
      <c r="I655" s="87">
        <f t="shared" si="408"/>
        <v>1.3946611804896936</v>
      </c>
      <c r="J655" s="87">
        <f t="shared" si="408"/>
        <v>1.7062593516177795</v>
      </c>
      <c r="K655" s="87">
        <f t="shared" si="408"/>
        <v>2.164870080060096</v>
      </c>
      <c r="L655" s="87">
        <f t="shared" si="408"/>
        <v>2.5544750949073229</v>
      </c>
      <c r="M655" s="87">
        <f t="shared" si="408"/>
        <v>2.6567450836038251</v>
      </c>
      <c r="N655" s="87">
        <f t="shared" si="408"/>
        <v>2.6796850231754643</v>
      </c>
      <c r="O655" s="87">
        <f t="shared" si="408"/>
        <v>2.702628852258528</v>
      </c>
      <c r="P655" s="87">
        <f t="shared" si="408"/>
        <v>2.4363392536266395</v>
      </c>
      <c r="Q655" s="87">
        <f t="shared" si="408"/>
        <v>2.4942443730619082</v>
      </c>
      <c r="R655" s="87">
        <f t="shared" si="408"/>
        <v>2.5125800306737096</v>
      </c>
      <c r="S655" s="87">
        <f t="shared" si="408"/>
        <v>2.2160086437182214</v>
      </c>
      <c r="T655" s="87">
        <f t="shared" si="408"/>
        <v>2.519270880767587</v>
      </c>
      <c r="U655" s="87">
        <f t="shared" si="408"/>
        <v>0</v>
      </c>
      <c r="V655" s="87">
        <f t="shared" si="408"/>
        <v>0</v>
      </c>
      <c r="W655" s="87">
        <f t="shared" si="408"/>
        <v>0</v>
      </c>
      <c r="X655" s="87">
        <f t="shared" si="408"/>
        <v>0</v>
      </c>
      <c r="Y655" s="87">
        <f t="shared" si="408"/>
        <v>0</v>
      </c>
      <c r="Z655" s="87">
        <f t="shared" si="408"/>
        <v>0</v>
      </c>
      <c r="AA655" s="87">
        <f t="shared" si="408"/>
        <v>0</v>
      </c>
      <c r="AB655" s="87">
        <f t="shared" si="408"/>
        <v>0</v>
      </c>
      <c r="AC655" s="87">
        <f t="shared" si="408"/>
        <v>0</v>
      </c>
      <c r="AD655" s="87">
        <f t="shared" si="408"/>
        <v>0</v>
      </c>
    </row>
    <row r="656" spans="1:30">
      <c r="A656" s="69"/>
      <c r="C656" s="42"/>
      <c r="D656" s="42"/>
      <c r="E656" s="42"/>
      <c r="F656" s="42"/>
      <c r="G656" s="42"/>
      <c r="H656" s="42"/>
      <c r="I656" s="42"/>
      <c r="J656" s="42"/>
      <c r="K656" s="42"/>
      <c r="L656" s="42"/>
      <c r="M656" s="42"/>
      <c r="N656" s="42"/>
      <c r="O656" s="42"/>
      <c r="P656" s="42"/>
      <c r="Q656" s="42"/>
      <c r="R656" s="42"/>
      <c r="S656" s="42"/>
      <c r="T656" s="42"/>
      <c r="U656" s="42"/>
      <c r="V656" s="42"/>
      <c r="W656" s="42"/>
      <c r="X656" s="42"/>
      <c r="Y656" s="42"/>
      <c r="Z656" s="42"/>
      <c r="AA656" s="42"/>
      <c r="AB656" s="42"/>
      <c r="AC656" s="42"/>
      <c r="AD656" s="42"/>
    </row>
    <row r="657" spans="1:30" s="8" customFormat="1" ht="15.5">
      <c r="A657" s="242" t="str">
        <f>'Expected NPV &amp; Common Data'!A$36</f>
        <v>Calendar Year --&gt;</v>
      </c>
      <c r="B657" s="243" t="str">
        <f>'Expected NPV &amp; Common Data'!B$36</f>
        <v>units</v>
      </c>
      <c r="C657" s="244" t="str">
        <f>'Expected NPV &amp; Common Data'!C$36</f>
        <v>Total</v>
      </c>
      <c r="D657" s="245">
        <f>'Expected NPV &amp; Common Data'!D$36</f>
        <v>2027</v>
      </c>
      <c r="E657" s="245">
        <f>'Expected NPV &amp; Common Data'!E$36</f>
        <v>2028</v>
      </c>
      <c r="F657" s="245">
        <f>'Expected NPV &amp; Common Data'!F$36</f>
        <v>2029</v>
      </c>
      <c r="G657" s="245">
        <f>'Expected NPV &amp; Common Data'!G$36</f>
        <v>2030</v>
      </c>
      <c r="H657" s="245">
        <f>'Expected NPV &amp; Common Data'!H$36</f>
        <v>2031</v>
      </c>
      <c r="I657" s="245">
        <f>'Expected NPV &amp; Common Data'!I$36</f>
        <v>2032</v>
      </c>
      <c r="J657" s="245">
        <f>'Expected NPV &amp; Common Data'!J$36</f>
        <v>2033</v>
      </c>
      <c r="K657" s="245">
        <f>'Expected NPV &amp; Common Data'!K$36</f>
        <v>2034</v>
      </c>
      <c r="L657" s="245">
        <f>'Expected NPV &amp; Common Data'!L$36</f>
        <v>2035</v>
      </c>
      <c r="M657" s="245">
        <f>'Expected NPV &amp; Common Data'!M$36</f>
        <v>2036</v>
      </c>
      <c r="N657" s="245">
        <f>'Expected NPV &amp; Common Data'!N$36</f>
        <v>2037</v>
      </c>
      <c r="O657" s="245">
        <f>'Expected NPV &amp; Common Data'!O$36</f>
        <v>2038</v>
      </c>
      <c r="P657" s="245">
        <f>'Expected NPV &amp; Common Data'!P$36</f>
        <v>2039</v>
      </c>
      <c r="Q657" s="245">
        <f>'Expected NPV &amp; Common Data'!Q$36</f>
        <v>2040</v>
      </c>
      <c r="R657" s="245">
        <f>'Expected NPV &amp; Common Data'!R$36</f>
        <v>2041</v>
      </c>
      <c r="S657" s="245">
        <f>'Expected NPV &amp; Common Data'!S$36</f>
        <v>2042</v>
      </c>
      <c r="T657" s="245">
        <f>'Expected NPV &amp; Common Data'!T$36</f>
        <v>2043</v>
      </c>
      <c r="U657" s="245">
        <f>'Expected NPV &amp; Common Data'!U$36</f>
        <v>2044</v>
      </c>
      <c r="V657" s="245">
        <f>'Expected NPV &amp; Common Data'!V$36</f>
        <v>2045</v>
      </c>
      <c r="W657" s="245">
        <f>'Expected NPV &amp; Common Data'!W$36</f>
        <v>2046</v>
      </c>
      <c r="X657" s="245">
        <f>'Expected NPV &amp; Common Data'!X$36</f>
        <v>2047</v>
      </c>
      <c r="Y657" s="245">
        <f>'Expected NPV &amp; Common Data'!Y$36</f>
        <v>2048</v>
      </c>
      <c r="Z657" s="245">
        <f>'Expected NPV &amp; Common Data'!Z$36</f>
        <v>2049</v>
      </c>
      <c r="AA657" s="245">
        <f>'Expected NPV &amp; Common Data'!AA$36</f>
        <v>2050</v>
      </c>
      <c r="AB657" s="245">
        <f>'Expected NPV &amp; Common Data'!AB$36</f>
        <v>2051</v>
      </c>
      <c r="AC657" s="245">
        <f>'Expected NPV &amp; Common Data'!AC$36</f>
        <v>2052</v>
      </c>
      <c r="AD657" s="245">
        <f>'Expected NPV &amp; Common Data'!AD$36</f>
        <v>2053</v>
      </c>
    </row>
    <row r="658" spans="1:30" s="32" customFormat="1" ht="53.25" customHeight="1">
      <c r="A658" s="21" t="s">
        <v>15</v>
      </c>
      <c r="B658" s="297"/>
      <c r="C658" s="298"/>
      <c r="D658" s="299"/>
      <c r="F658" s="33"/>
      <c r="G658" s="33"/>
      <c r="H658" s="33"/>
      <c r="I658" s="33"/>
      <c r="J658" s="33"/>
      <c r="K658" s="33"/>
      <c r="L658" s="33"/>
      <c r="M658" s="33"/>
      <c r="N658" s="33"/>
      <c r="O658" s="33"/>
      <c r="P658" s="33"/>
      <c r="Q658" s="33"/>
      <c r="R658" s="33"/>
      <c r="S658" s="33"/>
      <c r="T658" s="33"/>
      <c r="U658" s="33"/>
      <c r="V658" s="33"/>
      <c r="W658" s="33"/>
      <c r="X658" s="33"/>
      <c r="Y658" s="33"/>
      <c r="Z658" s="33"/>
      <c r="AA658" s="33"/>
      <c r="AB658" s="33"/>
      <c r="AC658" s="33"/>
      <c r="AD658" s="33"/>
    </row>
    <row r="659" spans="1:30" s="65" customFormat="1" outlineLevel="1">
      <c r="A659" s="282" t="s">
        <v>590</v>
      </c>
      <c r="B659" s="52"/>
      <c r="C659" s="54"/>
      <c r="D659" s="54"/>
      <c r="E659" s="54"/>
      <c r="F659" s="54"/>
      <c r="G659" s="54"/>
      <c r="H659" s="54"/>
      <c r="I659" s="54"/>
      <c r="J659" s="54"/>
      <c r="K659" s="54"/>
      <c r="L659" s="54"/>
      <c r="M659" s="54"/>
      <c r="N659" s="54"/>
      <c r="O659" s="54"/>
      <c r="P659" s="54"/>
      <c r="Q659" s="54"/>
      <c r="R659" s="54"/>
      <c r="S659" s="54"/>
      <c r="T659" s="54"/>
      <c r="U659" s="54"/>
      <c r="V659" s="54"/>
      <c r="W659" s="54"/>
      <c r="X659" s="54"/>
      <c r="Y659" s="54"/>
      <c r="Z659" s="54"/>
      <c r="AA659" s="54"/>
      <c r="AB659" s="54"/>
      <c r="AC659" s="54"/>
      <c r="AD659" s="54"/>
    </row>
    <row r="660" spans="1:30" ht="54" customHeight="1">
      <c r="A660" s="23" t="s">
        <v>399</v>
      </c>
      <c r="D660" s="15"/>
      <c r="F660" s="15"/>
      <c r="G660" s="15"/>
      <c r="H660" s="15"/>
      <c r="I660" s="15"/>
      <c r="J660" s="15"/>
      <c r="K660" s="15"/>
      <c r="L660" s="15"/>
      <c r="M660" s="15"/>
      <c r="N660" s="15"/>
      <c r="O660" s="15"/>
      <c r="P660" s="15"/>
      <c r="Q660" s="15"/>
      <c r="R660" s="15"/>
      <c r="S660" s="15"/>
      <c r="T660" s="15"/>
      <c r="U660" s="15"/>
      <c r="V660" s="15"/>
      <c r="W660" s="15"/>
      <c r="X660" s="15"/>
      <c r="Y660" s="15"/>
      <c r="Z660" s="15"/>
      <c r="AA660" s="15"/>
      <c r="AB660" s="15"/>
      <c r="AC660" s="15"/>
      <c r="AD660" s="15"/>
    </row>
    <row r="661" spans="1:30" customFormat="1" ht="15.5" outlineLevel="1">
      <c r="A661" s="1" t="s">
        <v>160</v>
      </c>
      <c r="C661" s="3"/>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row>
    <row r="662" spans="1:30" s="45" customFormat="1" outlineLevel="1">
      <c r="A662" s="305" t="str">
        <f>'Expected NPV &amp; Common Data'!A75</f>
        <v>2025 10 31 State Royalty website: Royalties are designed to encourage copper concentrate to be processed into metal locally.  Royalties for copper concentrates depend on metal prices on LME in Real terms and are levied at point of sale after product logistics.</v>
      </c>
      <c r="C662" s="42"/>
      <c r="D662" s="42"/>
      <c r="E662" s="42"/>
      <c r="F662" s="42"/>
      <c r="G662" s="42"/>
      <c r="H662" s="42"/>
      <c r="I662" s="42"/>
      <c r="J662" s="42"/>
      <c r="K662" s="42"/>
      <c r="L662" s="42"/>
      <c r="M662" s="42"/>
      <c r="N662" s="42"/>
      <c r="O662" s="42"/>
      <c r="P662" s="42"/>
      <c r="Q662" s="42"/>
      <c r="R662" s="42"/>
      <c r="S662" s="42"/>
      <c r="T662" s="42"/>
      <c r="U662" s="42"/>
      <c r="V662" s="42"/>
      <c r="W662" s="42"/>
      <c r="X662" s="42"/>
      <c r="Y662" s="42"/>
      <c r="Z662" s="42"/>
      <c r="AA662" s="42"/>
      <c r="AB662" s="42"/>
      <c r="AC662" s="42"/>
      <c r="AD662" s="42"/>
    </row>
    <row r="663" spans="1:30" s="45" customFormat="1" outlineLevel="1">
      <c r="A663" s="45" t="str">
        <f>A323</f>
        <v>copper revenue after TC/RC in A$</v>
      </c>
      <c r="B663" s="45" t="str">
        <f>B323</f>
        <v>A$ million Real</v>
      </c>
      <c r="C663" s="42">
        <f t="shared" ref="C663:C665" si="409">SUM(D663:AD663)</f>
        <v>11887.946494766022</v>
      </c>
      <c r="D663" s="42">
        <f t="shared" ref="D663:AD663" si="410">D323</f>
        <v>0</v>
      </c>
      <c r="E663" s="42">
        <f t="shared" si="410"/>
        <v>0</v>
      </c>
      <c r="F663" s="42">
        <f t="shared" si="410"/>
        <v>441.66612756121322</v>
      </c>
      <c r="G663" s="42">
        <f t="shared" si="410"/>
        <v>788.40049408918469</v>
      </c>
      <c r="H663" s="42">
        <f t="shared" si="410"/>
        <v>841.62453060290397</v>
      </c>
      <c r="I663" s="42">
        <f t="shared" si="410"/>
        <v>841.62453060290397</v>
      </c>
      <c r="J663" s="42">
        <f t="shared" si="410"/>
        <v>871.73813020935029</v>
      </c>
      <c r="K663" s="42">
        <f t="shared" si="410"/>
        <v>800.24751098862009</v>
      </c>
      <c r="L663" s="42">
        <f t="shared" si="410"/>
        <v>795.39717237845184</v>
      </c>
      <c r="M663" s="42">
        <f t="shared" si="410"/>
        <v>797.7899196340029</v>
      </c>
      <c r="N663" s="42">
        <f t="shared" si="410"/>
        <v>797.7899196340029</v>
      </c>
      <c r="O663" s="42">
        <f t="shared" si="410"/>
        <v>797.7899196340029</v>
      </c>
      <c r="P663" s="42">
        <f t="shared" si="410"/>
        <v>800.29938626787316</v>
      </c>
      <c r="Q663" s="42">
        <f t="shared" si="410"/>
        <v>776.56644600956281</v>
      </c>
      <c r="R663" s="42">
        <f t="shared" si="410"/>
        <v>771.48915305266189</v>
      </c>
      <c r="S663" s="42">
        <f t="shared" si="410"/>
        <v>771.48915305266189</v>
      </c>
      <c r="T663" s="42">
        <f t="shared" si="410"/>
        <v>994.03410104862212</v>
      </c>
      <c r="U663" s="42">
        <f t="shared" si="410"/>
        <v>0</v>
      </c>
      <c r="V663" s="42">
        <f t="shared" si="410"/>
        <v>0</v>
      </c>
      <c r="W663" s="42">
        <f t="shared" si="410"/>
        <v>0</v>
      </c>
      <c r="X663" s="42">
        <f t="shared" si="410"/>
        <v>0</v>
      </c>
      <c r="Y663" s="42">
        <f t="shared" si="410"/>
        <v>0</v>
      </c>
      <c r="Z663" s="42">
        <f t="shared" si="410"/>
        <v>0</v>
      </c>
      <c r="AA663" s="42">
        <f t="shared" si="410"/>
        <v>0</v>
      </c>
      <c r="AB663" s="42">
        <f t="shared" si="410"/>
        <v>0</v>
      </c>
      <c r="AC663" s="42">
        <f t="shared" si="410"/>
        <v>0</v>
      </c>
      <c r="AD663" s="42">
        <f t="shared" si="410"/>
        <v>0</v>
      </c>
    </row>
    <row r="664" spans="1:30" s="45" customFormat="1" outlineLevel="1">
      <c r="A664" s="45" t="str">
        <f>A624</f>
        <v>product logistics - copper conc</v>
      </c>
      <c r="B664" s="45" t="str">
        <f>B624</f>
        <v>A$ millions Real</v>
      </c>
      <c r="C664" s="42">
        <f t="shared" si="409"/>
        <v>183.35328215336625</v>
      </c>
      <c r="D664" s="42">
        <f t="shared" ref="D664:AD664" si="411">D624</f>
        <v>0</v>
      </c>
      <c r="E664" s="42">
        <f t="shared" si="411"/>
        <v>0</v>
      </c>
      <c r="F664" s="42">
        <f t="shared" si="411"/>
        <v>6.4577184958961622</v>
      </c>
      <c r="G664" s="42">
        <f t="shared" si="411"/>
        <v>11.610920019851113</v>
      </c>
      <c r="H664" s="42">
        <f t="shared" si="411"/>
        <v>12.484794742365594</v>
      </c>
      <c r="I664" s="42">
        <f t="shared" si="411"/>
        <v>12.575729571509676</v>
      </c>
      <c r="J664" s="42">
        <f t="shared" si="411"/>
        <v>13.120823660265636</v>
      </c>
      <c r="K664" s="42">
        <f t="shared" si="411"/>
        <v>12.132996421431114</v>
      </c>
      <c r="L664" s="42">
        <f t="shared" si="411"/>
        <v>12.148001930001467</v>
      </c>
      <c r="M664" s="42">
        <f t="shared" si="411"/>
        <v>12.27424471133947</v>
      </c>
      <c r="N664" s="42">
        <f t="shared" si="411"/>
        <v>12.364840348417026</v>
      </c>
      <c r="O664" s="42">
        <f t="shared" si="411"/>
        <v>12.456341941865354</v>
      </c>
      <c r="P664" s="42">
        <f t="shared" si="411"/>
        <v>12.588230961347428</v>
      </c>
      <c r="Q664" s="42">
        <f t="shared" si="411"/>
        <v>12.305783643842542</v>
      </c>
      <c r="R664" s="42">
        <f t="shared" si="411"/>
        <v>12.316493064573038</v>
      </c>
      <c r="S664" s="42">
        <f t="shared" si="411"/>
        <v>12.408570970129162</v>
      </c>
      <c r="T664" s="42">
        <f t="shared" si="411"/>
        <v>16.107791670531476</v>
      </c>
      <c r="U664" s="42">
        <f t="shared" si="411"/>
        <v>0</v>
      </c>
      <c r="V664" s="42">
        <f t="shared" si="411"/>
        <v>0</v>
      </c>
      <c r="W664" s="42">
        <f t="shared" si="411"/>
        <v>0</v>
      </c>
      <c r="X664" s="42">
        <f t="shared" si="411"/>
        <v>0</v>
      </c>
      <c r="Y664" s="42">
        <f t="shared" si="411"/>
        <v>0</v>
      </c>
      <c r="Z664" s="42">
        <f t="shared" si="411"/>
        <v>0</v>
      </c>
      <c r="AA664" s="42">
        <f t="shared" si="411"/>
        <v>0</v>
      </c>
      <c r="AB664" s="42">
        <f t="shared" si="411"/>
        <v>0</v>
      </c>
      <c r="AC664" s="42">
        <f t="shared" si="411"/>
        <v>0</v>
      </c>
      <c r="AD664" s="42">
        <f t="shared" si="411"/>
        <v>0</v>
      </c>
    </row>
    <row r="665" spans="1:30" s="45" customFormat="1" outlineLevel="1">
      <c r="A665" s="45" t="s">
        <v>389</v>
      </c>
      <c r="B665" s="45" t="s">
        <v>284</v>
      </c>
      <c r="C665" s="42">
        <f t="shared" si="409"/>
        <v>11704.593212612654</v>
      </c>
      <c r="D665" s="42">
        <f>D663-D664</f>
        <v>0</v>
      </c>
      <c r="E665" s="42">
        <f t="shared" ref="E665:AD665" si="412">E663-E664</f>
        <v>0</v>
      </c>
      <c r="F665" s="42">
        <f t="shared" si="412"/>
        <v>435.20840906531703</v>
      </c>
      <c r="G665" s="42">
        <f t="shared" si="412"/>
        <v>776.78957406933353</v>
      </c>
      <c r="H665" s="42">
        <f t="shared" si="412"/>
        <v>829.13973586053839</v>
      </c>
      <c r="I665" s="42">
        <f t="shared" si="412"/>
        <v>829.04880103139431</v>
      </c>
      <c r="J665" s="42">
        <f t="shared" si="412"/>
        <v>858.61730654908467</v>
      </c>
      <c r="K665" s="42">
        <f t="shared" si="412"/>
        <v>788.11451456718896</v>
      </c>
      <c r="L665" s="42">
        <f t="shared" si="412"/>
        <v>783.2491704484504</v>
      </c>
      <c r="M665" s="42">
        <f t="shared" si="412"/>
        <v>785.51567492266338</v>
      </c>
      <c r="N665" s="42">
        <f t="shared" si="412"/>
        <v>785.42507928558587</v>
      </c>
      <c r="O665" s="42">
        <f t="shared" si="412"/>
        <v>785.33357769213751</v>
      </c>
      <c r="P665" s="42">
        <f t="shared" si="412"/>
        <v>787.71115530652571</v>
      </c>
      <c r="Q665" s="42">
        <f t="shared" si="412"/>
        <v>764.26066236572024</v>
      </c>
      <c r="R665" s="42">
        <f t="shared" si="412"/>
        <v>759.17265998808887</v>
      </c>
      <c r="S665" s="42">
        <f t="shared" si="412"/>
        <v>759.08058208253271</v>
      </c>
      <c r="T665" s="42">
        <f t="shared" si="412"/>
        <v>977.92630937809065</v>
      </c>
      <c r="U665" s="42">
        <f t="shared" si="412"/>
        <v>0</v>
      </c>
      <c r="V665" s="42">
        <f t="shared" si="412"/>
        <v>0</v>
      </c>
      <c r="W665" s="42">
        <f t="shared" si="412"/>
        <v>0</v>
      </c>
      <c r="X665" s="42">
        <f t="shared" si="412"/>
        <v>0</v>
      </c>
      <c r="Y665" s="42">
        <f t="shared" si="412"/>
        <v>0</v>
      </c>
      <c r="Z665" s="42">
        <f t="shared" si="412"/>
        <v>0</v>
      </c>
      <c r="AA665" s="42">
        <f t="shared" si="412"/>
        <v>0</v>
      </c>
      <c r="AB665" s="42">
        <f t="shared" si="412"/>
        <v>0</v>
      </c>
      <c r="AC665" s="42">
        <f t="shared" si="412"/>
        <v>0</v>
      </c>
      <c r="AD665" s="42">
        <f t="shared" si="412"/>
        <v>0</v>
      </c>
    </row>
    <row r="666" spans="1:30" s="45" customFormat="1" ht="12" customHeight="1" outlineLevel="1">
      <c r="A666" s="167" t="s">
        <v>458</v>
      </c>
      <c r="C666" s="42"/>
      <c r="D666" s="42"/>
      <c r="E666" s="42"/>
      <c r="F666" s="42"/>
      <c r="G666" s="42"/>
      <c r="H666" s="42"/>
      <c r="I666" s="42"/>
      <c r="J666" s="42"/>
      <c r="K666" s="42"/>
      <c r="L666" s="42"/>
      <c r="M666" s="42"/>
      <c r="N666" s="42"/>
      <c r="O666" s="42"/>
      <c r="P666" s="42"/>
      <c r="Q666" s="42"/>
      <c r="R666" s="42"/>
      <c r="S666" s="42"/>
      <c r="T666" s="42"/>
      <c r="U666" s="42"/>
      <c r="V666" s="42"/>
      <c r="W666" s="42"/>
      <c r="X666" s="42"/>
      <c r="Y666" s="42"/>
      <c r="Z666" s="42"/>
      <c r="AA666" s="42"/>
      <c r="AB666" s="42"/>
      <c r="AC666" s="42"/>
      <c r="AD666" s="42"/>
    </row>
    <row r="667" spans="1:30" outlineLevel="1">
      <c r="A667" s="247" t="str">
        <f>'Expected NPV &amp; Common Data'!A76</f>
        <v>State copper royalty</v>
      </c>
      <c r="B667" s="247" t="str">
        <f>'Expected NPV &amp; Common Data'!B76</f>
        <v>%</v>
      </c>
      <c r="C667" s="262"/>
      <c r="D667" s="262">
        <f>'Expected NPV &amp; Common Data'!D76</f>
        <v>0.06</v>
      </c>
      <c r="E667" s="262">
        <f>'Expected NPV &amp; Common Data'!E76</f>
        <v>0.06</v>
      </c>
      <c r="F667" s="262">
        <f>'Expected NPV &amp; Common Data'!F76</f>
        <v>0.06</v>
      </c>
      <c r="G667" s="262">
        <f>'Expected NPV &amp; Common Data'!G76</f>
        <v>0.06</v>
      </c>
      <c r="H667" s="262">
        <f>'Expected NPV &amp; Common Data'!H76</f>
        <v>0.06</v>
      </c>
      <c r="I667" s="262">
        <f>'Expected NPV &amp; Common Data'!I76</f>
        <v>0.06</v>
      </c>
      <c r="J667" s="262">
        <f>'Expected NPV &amp; Common Data'!J76</f>
        <v>0.06</v>
      </c>
      <c r="K667" s="262">
        <f>'Expected NPV &amp; Common Data'!K76</f>
        <v>0.06</v>
      </c>
      <c r="L667" s="262">
        <f>'Expected NPV &amp; Common Data'!L76</f>
        <v>0.06</v>
      </c>
      <c r="M667" s="262">
        <f>'Expected NPV &amp; Common Data'!M76</f>
        <v>0.06</v>
      </c>
      <c r="N667" s="262">
        <f>'Expected NPV &amp; Common Data'!N76</f>
        <v>0.06</v>
      </c>
      <c r="O667" s="262">
        <f>'Expected NPV &amp; Common Data'!O76</f>
        <v>0.06</v>
      </c>
      <c r="P667" s="262">
        <f>'Expected NPV &amp; Common Data'!P76</f>
        <v>0.06</v>
      </c>
      <c r="Q667" s="262">
        <f>'Expected NPV &amp; Common Data'!Q76</f>
        <v>0.06</v>
      </c>
      <c r="R667" s="262">
        <f>'Expected NPV &amp; Common Data'!R76</f>
        <v>0.06</v>
      </c>
      <c r="S667" s="262">
        <f>'Expected NPV &amp; Common Data'!S76</f>
        <v>0.06</v>
      </c>
      <c r="T667" s="262">
        <f>'Expected NPV &amp; Common Data'!T76</f>
        <v>0.06</v>
      </c>
      <c r="U667" s="262">
        <f>'Expected NPV &amp; Common Data'!U76</f>
        <v>0.06</v>
      </c>
      <c r="V667" s="262">
        <f>'Expected NPV &amp; Common Data'!V76</f>
        <v>0.06</v>
      </c>
      <c r="W667" s="262">
        <f>'Expected NPV &amp; Common Data'!W76</f>
        <v>0.06</v>
      </c>
      <c r="X667" s="262">
        <f>'Expected NPV &amp; Common Data'!X76</f>
        <v>0.06</v>
      </c>
      <c r="Y667" s="262">
        <f>'Expected NPV &amp; Common Data'!Y76</f>
        <v>0.06</v>
      </c>
      <c r="Z667" s="262">
        <f>'Expected NPV &amp; Common Data'!Z76</f>
        <v>0.06</v>
      </c>
      <c r="AA667" s="262">
        <f>'Expected NPV &amp; Common Data'!AA76</f>
        <v>0.06</v>
      </c>
      <c r="AB667" s="262">
        <f>'Expected NPV &amp; Common Data'!AB76</f>
        <v>0.06</v>
      </c>
      <c r="AC667" s="262">
        <f>'Expected NPV &amp; Common Data'!AC76</f>
        <v>0.06</v>
      </c>
      <c r="AD667" s="262">
        <f>'Expected NPV &amp; Common Data'!AD76</f>
        <v>0.06</v>
      </c>
    </row>
    <row r="668" spans="1:30" outlineLevel="1">
      <c r="A668" s="247" t="str">
        <f>'Expected NPV &amp; Common Data'!A77</f>
        <v xml:space="preserve">Copper price on LME </v>
      </c>
      <c r="B668" s="247" t="str">
        <f>'Expected NPV &amp; Common Data'!B77</f>
        <v>US$/tonne Cu in 2015 Real terms</v>
      </c>
      <c r="C668" s="300">
        <f>'Expected NPV &amp; Common Data'!C77</f>
        <v>2.041742286751361</v>
      </c>
      <c r="D668" s="248">
        <f>'Expected NPV &amp; Common Data'!D77</f>
        <v>4500</v>
      </c>
      <c r="E668" s="248">
        <f>'Expected NPV &amp; Common Data'!E77</f>
        <v>4500</v>
      </c>
      <c r="F668" s="248">
        <f>'Expected NPV &amp; Common Data'!F77</f>
        <v>4500</v>
      </c>
      <c r="G668" s="248">
        <f>'Expected NPV &amp; Common Data'!G77</f>
        <v>4500</v>
      </c>
      <c r="H668" s="248">
        <f>'Expected NPV &amp; Common Data'!H77</f>
        <v>4500</v>
      </c>
      <c r="I668" s="248">
        <f>'Expected NPV &amp; Common Data'!I77</f>
        <v>4500</v>
      </c>
      <c r="J668" s="248">
        <f>'Expected NPV &amp; Common Data'!J77</f>
        <v>4500</v>
      </c>
      <c r="K668" s="248">
        <f>'Expected NPV &amp; Common Data'!K77</f>
        <v>4500</v>
      </c>
      <c r="L668" s="248">
        <f>'Expected NPV &amp; Common Data'!L77</f>
        <v>4500</v>
      </c>
      <c r="M668" s="248">
        <f>'Expected NPV &amp; Common Data'!M77</f>
        <v>4500</v>
      </c>
      <c r="N668" s="248">
        <f>'Expected NPV &amp; Common Data'!N77</f>
        <v>4500</v>
      </c>
      <c r="O668" s="248">
        <f>'Expected NPV &amp; Common Data'!O77</f>
        <v>4500</v>
      </c>
      <c r="P668" s="248">
        <f>'Expected NPV &amp; Common Data'!P77</f>
        <v>4500</v>
      </c>
      <c r="Q668" s="248">
        <f>'Expected NPV &amp; Common Data'!Q77</f>
        <v>4500</v>
      </c>
      <c r="R668" s="248">
        <f>'Expected NPV &amp; Common Data'!R77</f>
        <v>4500</v>
      </c>
      <c r="S668" s="248">
        <f>'Expected NPV &amp; Common Data'!S77</f>
        <v>4500</v>
      </c>
      <c r="T668" s="248">
        <f>'Expected NPV &amp; Common Data'!T77</f>
        <v>4500</v>
      </c>
      <c r="U668" s="248">
        <f>'Expected NPV &amp; Common Data'!U77</f>
        <v>4500</v>
      </c>
      <c r="V668" s="248">
        <f>'Expected NPV &amp; Common Data'!V77</f>
        <v>4500</v>
      </c>
      <c r="W668" s="248">
        <f>'Expected NPV &amp; Common Data'!W77</f>
        <v>4500</v>
      </c>
      <c r="X668" s="248">
        <f>'Expected NPV &amp; Common Data'!X77</f>
        <v>4500</v>
      </c>
      <c r="Y668" s="248">
        <f>'Expected NPV &amp; Common Data'!Y77</f>
        <v>4500</v>
      </c>
      <c r="Z668" s="248">
        <f>'Expected NPV &amp; Common Data'!Z77</f>
        <v>4500</v>
      </c>
      <c r="AA668" s="248">
        <f>'Expected NPV &amp; Common Data'!AA77</f>
        <v>4500</v>
      </c>
      <c r="AB668" s="248">
        <f>'Expected NPV &amp; Common Data'!AB77</f>
        <v>4500</v>
      </c>
      <c r="AC668" s="248">
        <f>'Expected NPV &amp; Common Data'!AC77</f>
        <v>4500</v>
      </c>
      <c r="AD668" s="248">
        <f>'Expected NPV &amp; Common Data'!AD77</f>
        <v>4500</v>
      </c>
    </row>
    <row r="669" spans="1:30" outlineLevel="1">
      <c r="A669" s="247" t="str">
        <f>'Expected NPV &amp; Common Data'!A78</f>
        <v>State copper royalty</v>
      </c>
      <c r="B669" s="247" t="str">
        <f>'Expected NPV &amp; Common Data'!B78</f>
        <v>%</v>
      </c>
      <c r="C669" s="262"/>
      <c r="D669" s="262">
        <f>'Expected NPV &amp; Common Data'!D78</f>
        <v>7.0000000000000007E-2</v>
      </c>
      <c r="E669" s="262">
        <f>'Expected NPV &amp; Common Data'!E78</f>
        <v>7.0000000000000007E-2</v>
      </c>
      <c r="F669" s="262">
        <f>'Expected NPV &amp; Common Data'!F78</f>
        <v>7.0000000000000007E-2</v>
      </c>
      <c r="G669" s="262">
        <f>'Expected NPV &amp; Common Data'!G78</f>
        <v>7.0000000000000007E-2</v>
      </c>
      <c r="H669" s="262">
        <f>'Expected NPV &amp; Common Data'!H78</f>
        <v>7.0000000000000007E-2</v>
      </c>
      <c r="I669" s="262">
        <f>'Expected NPV &amp; Common Data'!I78</f>
        <v>7.0000000000000007E-2</v>
      </c>
      <c r="J669" s="262">
        <f>'Expected NPV &amp; Common Data'!J78</f>
        <v>7.0000000000000007E-2</v>
      </c>
      <c r="K669" s="262">
        <f>'Expected NPV &amp; Common Data'!K78</f>
        <v>7.0000000000000007E-2</v>
      </c>
      <c r="L669" s="262">
        <f>'Expected NPV &amp; Common Data'!L78</f>
        <v>7.0000000000000007E-2</v>
      </c>
      <c r="M669" s="262">
        <f>'Expected NPV &amp; Common Data'!M78</f>
        <v>7.0000000000000007E-2</v>
      </c>
      <c r="N669" s="262">
        <f>'Expected NPV &amp; Common Data'!N78</f>
        <v>7.0000000000000007E-2</v>
      </c>
      <c r="O669" s="262">
        <f>'Expected NPV &amp; Common Data'!O78</f>
        <v>7.0000000000000007E-2</v>
      </c>
      <c r="P669" s="262">
        <f>'Expected NPV &amp; Common Data'!P78</f>
        <v>7.0000000000000007E-2</v>
      </c>
      <c r="Q669" s="262">
        <f>'Expected NPV &amp; Common Data'!Q78</f>
        <v>7.0000000000000007E-2</v>
      </c>
      <c r="R669" s="262">
        <f>'Expected NPV &amp; Common Data'!R78</f>
        <v>7.0000000000000007E-2</v>
      </c>
      <c r="S669" s="262">
        <f>'Expected NPV &amp; Common Data'!S78</f>
        <v>7.0000000000000007E-2</v>
      </c>
      <c r="T669" s="262">
        <f>'Expected NPV &amp; Common Data'!T78</f>
        <v>7.0000000000000007E-2</v>
      </c>
      <c r="U669" s="262">
        <f>'Expected NPV &amp; Common Data'!U78</f>
        <v>7.0000000000000007E-2</v>
      </c>
      <c r="V669" s="262">
        <f>'Expected NPV &amp; Common Data'!V78</f>
        <v>7.0000000000000007E-2</v>
      </c>
      <c r="W669" s="262">
        <f>'Expected NPV &amp; Common Data'!W78</f>
        <v>7.0000000000000007E-2</v>
      </c>
      <c r="X669" s="262">
        <f>'Expected NPV &amp; Common Data'!X78</f>
        <v>7.0000000000000007E-2</v>
      </c>
      <c r="Y669" s="262">
        <f>'Expected NPV &amp; Common Data'!Y78</f>
        <v>7.0000000000000007E-2</v>
      </c>
      <c r="Z669" s="262">
        <f>'Expected NPV &amp; Common Data'!Z78</f>
        <v>7.0000000000000007E-2</v>
      </c>
      <c r="AA669" s="262">
        <f>'Expected NPV &amp; Common Data'!AA78</f>
        <v>7.0000000000000007E-2</v>
      </c>
      <c r="AB669" s="262">
        <f>'Expected NPV &amp; Common Data'!AB78</f>
        <v>7.0000000000000007E-2</v>
      </c>
      <c r="AC669" s="262">
        <f>'Expected NPV &amp; Common Data'!AC78</f>
        <v>7.0000000000000007E-2</v>
      </c>
      <c r="AD669" s="262">
        <f>'Expected NPV &amp; Common Data'!AD78</f>
        <v>7.0000000000000007E-2</v>
      </c>
    </row>
    <row r="670" spans="1:30" outlineLevel="1">
      <c r="A670" s="247" t="str">
        <f>'Expected NPV &amp; Common Data'!A79</f>
        <v>Copper price on LME</v>
      </c>
      <c r="B670" s="247" t="str">
        <f>'Expected NPV &amp; Common Data'!B79</f>
        <v>US$/tonne Cu in 2015 Real terms</v>
      </c>
      <c r="C670" s="300">
        <f>'Expected NPV &amp; Common Data'!C79</f>
        <v>2.9945553539019962</v>
      </c>
      <c r="D670" s="248">
        <f>'Expected NPV &amp; Common Data'!D79</f>
        <v>6600</v>
      </c>
      <c r="E670" s="248">
        <f>'Expected NPV &amp; Common Data'!E79</f>
        <v>6600</v>
      </c>
      <c r="F670" s="248">
        <f>'Expected NPV &amp; Common Data'!F79</f>
        <v>6600</v>
      </c>
      <c r="G670" s="248">
        <f>'Expected NPV &amp; Common Data'!G79</f>
        <v>6600</v>
      </c>
      <c r="H670" s="248">
        <f>'Expected NPV &amp; Common Data'!H79</f>
        <v>6600</v>
      </c>
      <c r="I670" s="248">
        <f>'Expected NPV &amp; Common Data'!I79</f>
        <v>6600</v>
      </c>
      <c r="J670" s="248">
        <f>'Expected NPV &amp; Common Data'!J79</f>
        <v>6600</v>
      </c>
      <c r="K670" s="248">
        <f>'Expected NPV &amp; Common Data'!K79</f>
        <v>6600</v>
      </c>
      <c r="L670" s="248">
        <f>'Expected NPV &amp; Common Data'!L79</f>
        <v>6600</v>
      </c>
      <c r="M670" s="248">
        <f>'Expected NPV &amp; Common Data'!M79</f>
        <v>6600</v>
      </c>
      <c r="N670" s="248">
        <f>'Expected NPV &amp; Common Data'!N79</f>
        <v>6600</v>
      </c>
      <c r="O670" s="248">
        <f>'Expected NPV &amp; Common Data'!O79</f>
        <v>6600</v>
      </c>
      <c r="P670" s="248">
        <f>'Expected NPV &amp; Common Data'!P79</f>
        <v>6600</v>
      </c>
      <c r="Q670" s="248">
        <f>'Expected NPV &amp; Common Data'!Q79</f>
        <v>6600</v>
      </c>
      <c r="R670" s="248">
        <f>'Expected NPV &amp; Common Data'!R79</f>
        <v>6600</v>
      </c>
      <c r="S670" s="248">
        <f>'Expected NPV &amp; Common Data'!S79</f>
        <v>6600</v>
      </c>
      <c r="T670" s="248">
        <f>'Expected NPV &amp; Common Data'!T79</f>
        <v>6600</v>
      </c>
      <c r="U670" s="248">
        <f>'Expected NPV &amp; Common Data'!U79</f>
        <v>6600</v>
      </c>
      <c r="V670" s="248">
        <f>'Expected NPV &amp; Common Data'!V79</f>
        <v>6600</v>
      </c>
      <c r="W670" s="248">
        <f>'Expected NPV &amp; Common Data'!W79</f>
        <v>6600</v>
      </c>
      <c r="X670" s="248">
        <f>'Expected NPV &amp; Common Data'!X79</f>
        <v>6600</v>
      </c>
      <c r="Y670" s="248">
        <f>'Expected NPV &amp; Common Data'!Y79</f>
        <v>6600</v>
      </c>
      <c r="Z670" s="248">
        <f>'Expected NPV &amp; Common Data'!Z79</f>
        <v>6600</v>
      </c>
      <c r="AA670" s="248">
        <f>'Expected NPV &amp; Common Data'!AA79</f>
        <v>6600</v>
      </c>
      <c r="AB670" s="248">
        <f>'Expected NPV &amp; Common Data'!AB79</f>
        <v>6600</v>
      </c>
      <c r="AC670" s="248">
        <f>'Expected NPV &amp; Common Data'!AC79</f>
        <v>6600</v>
      </c>
      <c r="AD670" s="248">
        <f>'Expected NPV &amp; Common Data'!AD79</f>
        <v>6600</v>
      </c>
    </row>
    <row r="671" spans="1:30" outlineLevel="1">
      <c r="A671" s="247" t="str">
        <f>'Expected NPV &amp; Common Data'!A80</f>
        <v>State copper royalty</v>
      </c>
      <c r="B671" s="247" t="str">
        <f>'Expected NPV &amp; Common Data'!B80</f>
        <v>%</v>
      </c>
      <c r="C671" s="262"/>
      <c r="D671" s="262">
        <f>'Expected NPV &amp; Common Data'!D80</f>
        <v>0.08</v>
      </c>
      <c r="E671" s="262">
        <f>'Expected NPV &amp; Common Data'!E80</f>
        <v>0.08</v>
      </c>
      <c r="F671" s="262">
        <f>'Expected NPV &amp; Common Data'!F80</f>
        <v>0.08</v>
      </c>
      <c r="G671" s="262">
        <f>'Expected NPV &amp; Common Data'!G80</f>
        <v>0.08</v>
      </c>
      <c r="H671" s="262">
        <f>'Expected NPV &amp; Common Data'!H80</f>
        <v>0.08</v>
      </c>
      <c r="I671" s="262">
        <f>'Expected NPV &amp; Common Data'!I80</f>
        <v>0.08</v>
      </c>
      <c r="J671" s="262">
        <f>'Expected NPV &amp; Common Data'!J80</f>
        <v>0.08</v>
      </c>
      <c r="K671" s="262">
        <f>'Expected NPV &amp; Common Data'!K80</f>
        <v>0.08</v>
      </c>
      <c r="L671" s="262">
        <f>'Expected NPV &amp; Common Data'!L80</f>
        <v>0.08</v>
      </c>
      <c r="M671" s="262">
        <f>'Expected NPV &amp; Common Data'!M80</f>
        <v>0.08</v>
      </c>
      <c r="N671" s="262">
        <f>'Expected NPV &amp; Common Data'!N80</f>
        <v>0.08</v>
      </c>
      <c r="O671" s="262">
        <f>'Expected NPV &amp; Common Data'!O80</f>
        <v>0.08</v>
      </c>
      <c r="P671" s="262">
        <f>'Expected NPV &amp; Common Data'!P80</f>
        <v>0.08</v>
      </c>
      <c r="Q671" s="262">
        <f>'Expected NPV &amp; Common Data'!Q80</f>
        <v>0.08</v>
      </c>
      <c r="R671" s="262">
        <f>'Expected NPV &amp; Common Data'!R80</f>
        <v>0.08</v>
      </c>
      <c r="S671" s="262">
        <f>'Expected NPV &amp; Common Data'!S80</f>
        <v>0.08</v>
      </c>
      <c r="T671" s="262">
        <f>'Expected NPV &amp; Common Data'!T80</f>
        <v>0.08</v>
      </c>
      <c r="U671" s="262">
        <f>'Expected NPV &amp; Common Data'!U80</f>
        <v>0.08</v>
      </c>
      <c r="V671" s="262">
        <f>'Expected NPV &amp; Common Data'!V80</f>
        <v>0.08</v>
      </c>
      <c r="W671" s="262">
        <f>'Expected NPV &amp; Common Data'!W80</f>
        <v>0.08</v>
      </c>
      <c r="X671" s="262">
        <f>'Expected NPV &amp; Common Data'!X80</f>
        <v>0.08</v>
      </c>
      <c r="Y671" s="262">
        <f>'Expected NPV &amp; Common Data'!Y80</f>
        <v>0.08</v>
      </c>
      <c r="Z671" s="262">
        <f>'Expected NPV &amp; Common Data'!Z80</f>
        <v>0.08</v>
      </c>
      <c r="AA671" s="262">
        <f>'Expected NPV &amp; Common Data'!AA80</f>
        <v>0.08</v>
      </c>
      <c r="AB671" s="262">
        <f>'Expected NPV &amp; Common Data'!AB80</f>
        <v>0.08</v>
      </c>
      <c r="AC671" s="262">
        <f>'Expected NPV &amp; Common Data'!AC80</f>
        <v>0.08</v>
      </c>
      <c r="AD671" s="262">
        <f>'Expected NPV &amp; Common Data'!AD80</f>
        <v>0.08</v>
      </c>
    </row>
    <row r="672" spans="1:30" outlineLevel="1">
      <c r="A672" s="247" t="str">
        <f>'Expected NPV &amp; Common Data'!A81</f>
        <v>Copper price on LME</v>
      </c>
      <c r="B672" s="247" t="str">
        <f>'Expected NPV &amp; Common Data'!B81</f>
        <v>US$/tonne Cu in 2015 Real terms</v>
      </c>
      <c r="C672" s="300">
        <f>'Expected NPV &amp; Common Data'!C81</f>
        <v>3.9927404718693285</v>
      </c>
      <c r="D672" s="248">
        <f>'Expected NPV &amp; Common Data'!D81</f>
        <v>8800</v>
      </c>
      <c r="E672" s="248">
        <f>'Expected NPV &amp; Common Data'!E81</f>
        <v>8800</v>
      </c>
      <c r="F672" s="248">
        <f>'Expected NPV &amp; Common Data'!F81</f>
        <v>8800</v>
      </c>
      <c r="G672" s="248">
        <f>'Expected NPV &amp; Common Data'!G81</f>
        <v>8800</v>
      </c>
      <c r="H672" s="248">
        <f>'Expected NPV &amp; Common Data'!H81</f>
        <v>8800</v>
      </c>
      <c r="I672" s="248">
        <f>'Expected NPV &amp; Common Data'!I81</f>
        <v>8800</v>
      </c>
      <c r="J672" s="248">
        <f>'Expected NPV &amp; Common Data'!J81</f>
        <v>8800</v>
      </c>
      <c r="K672" s="248">
        <f>'Expected NPV &amp; Common Data'!K81</f>
        <v>8800</v>
      </c>
      <c r="L672" s="248">
        <f>'Expected NPV &amp; Common Data'!L81</f>
        <v>8800</v>
      </c>
      <c r="M672" s="248">
        <f>'Expected NPV &amp; Common Data'!M81</f>
        <v>8800</v>
      </c>
      <c r="N672" s="248">
        <f>'Expected NPV &amp; Common Data'!N81</f>
        <v>8800</v>
      </c>
      <c r="O672" s="248">
        <f>'Expected NPV &amp; Common Data'!O81</f>
        <v>8800</v>
      </c>
      <c r="P672" s="248">
        <f>'Expected NPV &amp; Common Data'!P81</f>
        <v>8800</v>
      </c>
      <c r="Q672" s="248">
        <f>'Expected NPV &amp; Common Data'!Q81</f>
        <v>8800</v>
      </c>
      <c r="R672" s="248">
        <f>'Expected NPV &amp; Common Data'!R81</f>
        <v>8800</v>
      </c>
      <c r="S672" s="248">
        <f>'Expected NPV &amp; Common Data'!S81</f>
        <v>8800</v>
      </c>
      <c r="T672" s="248">
        <f>'Expected NPV &amp; Common Data'!T81</f>
        <v>8800</v>
      </c>
      <c r="U672" s="248">
        <f>'Expected NPV &amp; Common Data'!U81</f>
        <v>8800</v>
      </c>
      <c r="V672" s="248">
        <f>'Expected NPV &amp; Common Data'!V81</f>
        <v>8800</v>
      </c>
      <c r="W672" s="248">
        <f>'Expected NPV &amp; Common Data'!W81</f>
        <v>8800</v>
      </c>
      <c r="X672" s="248">
        <f>'Expected NPV &amp; Common Data'!X81</f>
        <v>8800</v>
      </c>
      <c r="Y672" s="248">
        <f>'Expected NPV &amp; Common Data'!Y81</f>
        <v>8800</v>
      </c>
      <c r="Z672" s="248">
        <f>'Expected NPV &amp; Common Data'!Z81</f>
        <v>8800</v>
      </c>
      <c r="AA672" s="248">
        <f>'Expected NPV &amp; Common Data'!AA81</f>
        <v>8800</v>
      </c>
      <c r="AB672" s="248">
        <f>'Expected NPV &amp; Common Data'!AB81</f>
        <v>8800</v>
      </c>
      <c r="AC672" s="248">
        <f>'Expected NPV &amp; Common Data'!AC81</f>
        <v>8800</v>
      </c>
      <c r="AD672" s="248">
        <f>'Expected NPV &amp; Common Data'!AD81</f>
        <v>8800</v>
      </c>
    </row>
    <row r="673" spans="1:30" outlineLevel="1">
      <c r="A673" s="247" t="str">
        <f>'Expected NPV &amp; Common Data'!A82</f>
        <v>State copper royalty</v>
      </c>
      <c r="B673" s="247" t="str">
        <f>'Expected NPV &amp; Common Data'!B82</f>
        <v>%</v>
      </c>
      <c r="C673" s="262"/>
      <c r="D673" s="262">
        <f>'Expected NPV &amp; Common Data'!D82</f>
        <v>0.09</v>
      </c>
      <c r="E673" s="262">
        <f>'Expected NPV &amp; Common Data'!E82</f>
        <v>0.09</v>
      </c>
      <c r="F673" s="262">
        <f>'Expected NPV &amp; Common Data'!F82</f>
        <v>0.09</v>
      </c>
      <c r="G673" s="262">
        <f>'Expected NPV &amp; Common Data'!G82</f>
        <v>0.09</v>
      </c>
      <c r="H673" s="262">
        <f>'Expected NPV &amp; Common Data'!H82</f>
        <v>0.09</v>
      </c>
      <c r="I673" s="262">
        <f>'Expected NPV &amp; Common Data'!I82</f>
        <v>0.09</v>
      </c>
      <c r="J673" s="262">
        <f>'Expected NPV &amp; Common Data'!J82</f>
        <v>0.09</v>
      </c>
      <c r="K673" s="262">
        <f>'Expected NPV &amp; Common Data'!K82</f>
        <v>0.09</v>
      </c>
      <c r="L673" s="262">
        <f>'Expected NPV &amp; Common Data'!L82</f>
        <v>0.09</v>
      </c>
      <c r="M673" s="262">
        <f>'Expected NPV &amp; Common Data'!M82</f>
        <v>0.09</v>
      </c>
      <c r="N673" s="262">
        <f>'Expected NPV &amp; Common Data'!N82</f>
        <v>0.09</v>
      </c>
      <c r="O673" s="262">
        <f>'Expected NPV &amp; Common Data'!O82</f>
        <v>0.09</v>
      </c>
      <c r="P673" s="262">
        <f>'Expected NPV &amp; Common Data'!P82</f>
        <v>0.09</v>
      </c>
      <c r="Q673" s="262">
        <f>'Expected NPV &amp; Common Data'!Q82</f>
        <v>0.09</v>
      </c>
      <c r="R673" s="262">
        <f>'Expected NPV &amp; Common Data'!R82</f>
        <v>0.09</v>
      </c>
      <c r="S673" s="262">
        <f>'Expected NPV &amp; Common Data'!S82</f>
        <v>0.09</v>
      </c>
      <c r="T673" s="262">
        <f>'Expected NPV &amp; Common Data'!T82</f>
        <v>0.09</v>
      </c>
      <c r="U673" s="262">
        <f>'Expected NPV &amp; Common Data'!U82</f>
        <v>0.09</v>
      </c>
      <c r="V673" s="262">
        <f>'Expected NPV &amp; Common Data'!V82</f>
        <v>0.09</v>
      </c>
      <c r="W673" s="262">
        <f>'Expected NPV &amp; Common Data'!W82</f>
        <v>0.09</v>
      </c>
      <c r="X673" s="262">
        <f>'Expected NPV &amp; Common Data'!X82</f>
        <v>0.09</v>
      </c>
      <c r="Y673" s="262">
        <f>'Expected NPV &amp; Common Data'!Y82</f>
        <v>0.09</v>
      </c>
      <c r="Z673" s="262">
        <f>'Expected NPV &amp; Common Data'!Z82</f>
        <v>0.09</v>
      </c>
      <c r="AA673" s="262">
        <f>'Expected NPV &amp; Common Data'!AA82</f>
        <v>0.09</v>
      </c>
      <c r="AB673" s="262">
        <f>'Expected NPV &amp; Common Data'!AB82</f>
        <v>0.09</v>
      </c>
      <c r="AC673" s="262">
        <f>'Expected NPV &amp; Common Data'!AC82</f>
        <v>0.09</v>
      </c>
      <c r="AD673" s="262">
        <f>'Expected NPV &amp; Common Data'!AD82</f>
        <v>0.09</v>
      </c>
    </row>
    <row r="674" spans="1:30" outlineLevel="1">
      <c r="A674" s="247" t="str">
        <f>'Expected NPV &amp; Common Data'!A83</f>
        <v>Copper price on LME</v>
      </c>
      <c r="B674" s="247" t="str">
        <f>'Expected NPV &amp; Common Data'!B83</f>
        <v>US$/tonne Cu in 2015 Real terms</v>
      </c>
      <c r="C674" s="300">
        <f>'Expected NPV &amp; Common Data'!C83</f>
        <v>4.9909255898366602</v>
      </c>
      <c r="D674" s="248">
        <f>'Expected NPV &amp; Common Data'!D83</f>
        <v>11000</v>
      </c>
      <c r="E674" s="248">
        <f>'Expected NPV &amp; Common Data'!E83</f>
        <v>11000</v>
      </c>
      <c r="F674" s="248">
        <f>'Expected NPV &amp; Common Data'!F83</f>
        <v>11000</v>
      </c>
      <c r="G674" s="248">
        <f>'Expected NPV &amp; Common Data'!G83</f>
        <v>11000</v>
      </c>
      <c r="H674" s="248">
        <f>'Expected NPV &amp; Common Data'!H83</f>
        <v>11000</v>
      </c>
      <c r="I674" s="248">
        <f>'Expected NPV &amp; Common Data'!I83</f>
        <v>11000</v>
      </c>
      <c r="J674" s="248">
        <f>'Expected NPV &amp; Common Data'!J83</f>
        <v>11000</v>
      </c>
      <c r="K674" s="248">
        <f>'Expected NPV &amp; Common Data'!K83</f>
        <v>11000</v>
      </c>
      <c r="L674" s="248">
        <f>'Expected NPV &amp; Common Data'!L83</f>
        <v>11000</v>
      </c>
      <c r="M674" s="248">
        <f>'Expected NPV &amp; Common Data'!M83</f>
        <v>11000</v>
      </c>
      <c r="N674" s="248">
        <f>'Expected NPV &amp; Common Data'!N83</f>
        <v>11000</v>
      </c>
      <c r="O674" s="248">
        <f>'Expected NPV &amp; Common Data'!O83</f>
        <v>11000</v>
      </c>
      <c r="P674" s="248">
        <f>'Expected NPV &amp; Common Data'!P83</f>
        <v>11000</v>
      </c>
      <c r="Q674" s="248">
        <f>'Expected NPV &amp; Common Data'!Q83</f>
        <v>11000</v>
      </c>
      <c r="R674" s="248">
        <f>'Expected NPV &amp; Common Data'!R83</f>
        <v>11000</v>
      </c>
      <c r="S674" s="248">
        <f>'Expected NPV &amp; Common Data'!S83</f>
        <v>11000</v>
      </c>
      <c r="T674" s="248">
        <f>'Expected NPV &amp; Common Data'!T83</f>
        <v>11000</v>
      </c>
      <c r="U674" s="248">
        <f>'Expected NPV &amp; Common Data'!U83</f>
        <v>11000</v>
      </c>
      <c r="V674" s="248">
        <f>'Expected NPV &amp; Common Data'!V83</f>
        <v>11000</v>
      </c>
      <c r="W674" s="248">
        <f>'Expected NPV &amp; Common Data'!W83</f>
        <v>11000</v>
      </c>
      <c r="X674" s="248">
        <f>'Expected NPV &amp; Common Data'!X83</f>
        <v>11000</v>
      </c>
      <c r="Y674" s="248">
        <f>'Expected NPV &amp; Common Data'!Y83</f>
        <v>11000</v>
      </c>
      <c r="Z674" s="248">
        <f>'Expected NPV &amp; Common Data'!Z83</f>
        <v>11000</v>
      </c>
      <c r="AA674" s="248">
        <f>'Expected NPV &amp; Common Data'!AA83</f>
        <v>11000</v>
      </c>
      <c r="AB674" s="248">
        <f>'Expected NPV &amp; Common Data'!AB83</f>
        <v>11000</v>
      </c>
      <c r="AC674" s="248">
        <f>'Expected NPV &amp; Common Data'!AC83</f>
        <v>11000</v>
      </c>
      <c r="AD674" s="248">
        <f>'Expected NPV &amp; Common Data'!AD83</f>
        <v>11000</v>
      </c>
    </row>
    <row r="675" spans="1:30" outlineLevel="1">
      <c r="A675" s="247" t="str">
        <f>'Expected NPV &amp; Common Data'!A84</f>
        <v>State copper royalty</v>
      </c>
      <c r="B675" s="247" t="str">
        <f>'Expected NPV &amp; Common Data'!B84</f>
        <v>%</v>
      </c>
      <c r="C675" s="262"/>
      <c r="D675" s="262">
        <f>'Expected NPV &amp; Common Data'!D84</f>
        <v>0.1</v>
      </c>
      <c r="E675" s="262">
        <f>'Expected NPV &amp; Common Data'!E84</f>
        <v>0.1</v>
      </c>
      <c r="F675" s="262">
        <f>'Expected NPV &amp; Common Data'!F84</f>
        <v>0.1</v>
      </c>
      <c r="G675" s="262">
        <f>'Expected NPV &amp; Common Data'!G84</f>
        <v>0.1</v>
      </c>
      <c r="H675" s="262">
        <f>'Expected NPV &amp; Common Data'!H84</f>
        <v>0.1</v>
      </c>
      <c r="I675" s="262">
        <f>'Expected NPV &amp; Common Data'!I84</f>
        <v>0.1</v>
      </c>
      <c r="J675" s="262">
        <f>'Expected NPV &amp; Common Data'!J84</f>
        <v>0.1</v>
      </c>
      <c r="K675" s="262">
        <f>'Expected NPV &amp; Common Data'!K84</f>
        <v>0.1</v>
      </c>
      <c r="L675" s="262">
        <f>'Expected NPV &amp; Common Data'!L84</f>
        <v>0.1</v>
      </c>
      <c r="M675" s="262">
        <f>'Expected NPV &amp; Common Data'!M84</f>
        <v>0.1</v>
      </c>
      <c r="N675" s="262">
        <f>'Expected NPV &amp; Common Data'!N84</f>
        <v>0.1</v>
      </c>
      <c r="O675" s="262">
        <f>'Expected NPV &amp; Common Data'!O84</f>
        <v>0.1</v>
      </c>
      <c r="P675" s="262">
        <f>'Expected NPV &amp; Common Data'!P84</f>
        <v>0.1</v>
      </c>
      <c r="Q675" s="262">
        <f>'Expected NPV &amp; Common Data'!Q84</f>
        <v>0.1</v>
      </c>
      <c r="R675" s="262">
        <f>'Expected NPV &amp; Common Data'!R84</f>
        <v>0.1</v>
      </c>
      <c r="S675" s="262">
        <f>'Expected NPV &amp; Common Data'!S84</f>
        <v>0.1</v>
      </c>
      <c r="T675" s="262">
        <f>'Expected NPV &amp; Common Data'!T84</f>
        <v>0.1</v>
      </c>
      <c r="U675" s="262">
        <f>'Expected NPV &amp; Common Data'!U84</f>
        <v>0.1</v>
      </c>
      <c r="V675" s="262">
        <f>'Expected NPV &amp; Common Data'!V84</f>
        <v>0.1</v>
      </c>
      <c r="W675" s="262">
        <f>'Expected NPV &amp; Common Data'!W84</f>
        <v>0.1</v>
      </c>
      <c r="X675" s="262">
        <f>'Expected NPV &amp; Common Data'!X84</f>
        <v>0.1</v>
      </c>
      <c r="Y675" s="262">
        <f>'Expected NPV &amp; Common Data'!Y84</f>
        <v>0.1</v>
      </c>
      <c r="Z675" s="262">
        <f>'Expected NPV &amp; Common Data'!Z84</f>
        <v>0.1</v>
      </c>
      <c r="AA675" s="262">
        <f>'Expected NPV &amp; Common Data'!AA84</f>
        <v>0.1</v>
      </c>
      <c r="AB675" s="262">
        <f>'Expected NPV &amp; Common Data'!AB84</f>
        <v>0.1</v>
      </c>
      <c r="AC675" s="262">
        <f>'Expected NPV &amp; Common Data'!AC84</f>
        <v>0.1</v>
      </c>
      <c r="AD675" s="262">
        <f>'Expected NPV &amp; Common Data'!AD84</f>
        <v>0.1</v>
      </c>
    </row>
    <row r="676" spans="1:30" outlineLevel="1">
      <c r="A676" s="69" t="str">
        <f>A100</f>
        <v>Copper price forecast - mid case</v>
      </c>
      <c r="B676" s="13" t="str">
        <f>B100</f>
        <v>US$/ lb real</v>
      </c>
      <c r="C676" s="42"/>
      <c r="D676" s="57">
        <f t="shared" ref="D676:AD676" si="413">D100</f>
        <v>4</v>
      </c>
      <c r="E676" s="57">
        <f t="shared" si="413"/>
        <v>4</v>
      </c>
      <c r="F676" s="57">
        <f t="shared" si="413"/>
        <v>4</v>
      </c>
      <c r="G676" s="57">
        <f t="shared" si="413"/>
        <v>4</v>
      </c>
      <c r="H676" s="57">
        <f t="shared" si="413"/>
        <v>4</v>
      </c>
      <c r="I676" s="57">
        <f t="shared" si="413"/>
        <v>4</v>
      </c>
      <c r="J676" s="57">
        <f t="shared" si="413"/>
        <v>4</v>
      </c>
      <c r="K676" s="57">
        <f t="shared" si="413"/>
        <v>4</v>
      </c>
      <c r="L676" s="57">
        <f t="shared" si="413"/>
        <v>4</v>
      </c>
      <c r="M676" s="57">
        <f t="shared" si="413"/>
        <v>4</v>
      </c>
      <c r="N676" s="57">
        <f t="shared" si="413"/>
        <v>4</v>
      </c>
      <c r="O676" s="57">
        <f t="shared" si="413"/>
        <v>4</v>
      </c>
      <c r="P676" s="57">
        <f t="shared" si="413"/>
        <v>4</v>
      </c>
      <c r="Q676" s="57">
        <f t="shared" si="413"/>
        <v>4</v>
      </c>
      <c r="R676" s="57">
        <f t="shared" si="413"/>
        <v>4</v>
      </c>
      <c r="S676" s="57">
        <f t="shared" si="413"/>
        <v>4</v>
      </c>
      <c r="T676" s="57">
        <f t="shared" si="413"/>
        <v>4</v>
      </c>
      <c r="U676" s="57">
        <f t="shared" si="413"/>
        <v>4</v>
      </c>
      <c r="V676" s="57">
        <f t="shared" si="413"/>
        <v>4</v>
      </c>
      <c r="W676" s="57">
        <f t="shared" si="413"/>
        <v>4</v>
      </c>
      <c r="X676" s="57">
        <f t="shared" si="413"/>
        <v>4</v>
      </c>
      <c r="Y676" s="57">
        <f t="shared" si="413"/>
        <v>4</v>
      </c>
      <c r="Z676" s="57">
        <f t="shared" si="413"/>
        <v>4</v>
      </c>
      <c r="AA676" s="57">
        <f t="shared" si="413"/>
        <v>4</v>
      </c>
      <c r="AB676" s="57">
        <f t="shared" si="413"/>
        <v>4</v>
      </c>
      <c r="AC676" s="57">
        <f t="shared" si="413"/>
        <v>4</v>
      </c>
      <c r="AD676" s="57">
        <f t="shared" si="413"/>
        <v>4</v>
      </c>
    </row>
    <row r="677" spans="1:30" outlineLevel="1">
      <c r="A677" s="45" t="str">
        <f>A676</f>
        <v>Copper price forecast - mid case</v>
      </c>
      <c r="B677" s="13" t="s">
        <v>161</v>
      </c>
      <c r="D677" s="301">
        <f t="shared" ref="D677:AD677" si="414">D676*2204.6</f>
        <v>8818.4</v>
      </c>
      <c r="E677" s="301">
        <f t="shared" si="414"/>
        <v>8818.4</v>
      </c>
      <c r="F677" s="301">
        <f t="shared" si="414"/>
        <v>8818.4</v>
      </c>
      <c r="G677" s="301">
        <f t="shared" si="414"/>
        <v>8818.4</v>
      </c>
      <c r="H677" s="301">
        <f t="shared" si="414"/>
        <v>8818.4</v>
      </c>
      <c r="I677" s="301">
        <f t="shared" si="414"/>
        <v>8818.4</v>
      </c>
      <c r="J677" s="301">
        <f t="shared" si="414"/>
        <v>8818.4</v>
      </c>
      <c r="K677" s="301">
        <f t="shared" si="414"/>
        <v>8818.4</v>
      </c>
      <c r="L677" s="301">
        <f t="shared" si="414"/>
        <v>8818.4</v>
      </c>
      <c r="M677" s="301">
        <f t="shared" si="414"/>
        <v>8818.4</v>
      </c>
      <c r="N677" s="301">
        <f t="shared" si="414"/>
        <v>8818.4</v>
      </c>
      <c r="O677" s="301">
        <f t="shared" si="414"/>
        <v>8818.4</v>
      </c>
      <c r="P677" s="301">
        <f t="shared" si="414"/>
        <v>8818.4</v>
      </c>
      <c r="Q677" s="301">
        <f t="shared" si="414"/>
        <v>8818.4</v>
      </c>
      <c r="R677" s="301">
        <f t="shared" si="414"/>
        <v>8818.4</v>
      </c>
      <c r="S677" s="301">
        <f t="shared" si="414"/>
        <v>8818.4</v>
      </c>
      <c r="T677" s="301">
        <f t="shared" si="414"/>
        <v>8818.4</v>
      </c>
      <c r="U677" s="301">
        <f t="shared" si="414"/>
        <v>8818.4</v>
      </c>
      <c r="V677" s="301">
        <f t="shared" si="414"/>
        <v>8818.4</v>
      </c>
      <c r="W677" s="301">
        <f t="shared" si="414"/>
        <v>8818.4</v>
      </c>
      <c r="X677" s="301">
        <f t="shared" si="414"/>
        <v>8818.4</v>
      </c>
      <c r="Y677" s="301">
        <f t="shared" si="414"/>
        <v>8818.4</v>
      </c>
      <c r="Z677" s="301">
        <f t="shared" si="414"/>
        <v>8818.4</v>
      </c>
      <c r="AA677" s="301">
        <f t="shared" si="414"/>
        <v>8818.4</v>
      </c>
      <c r="AB677" s="301">
        <f t="shared" si="414"/>
        <v>8818.4</v>
      </c>
      <c r="AC677" s="301">
        <f t="shared" si="414"/>
        <v>8818.4</v>
      </c>
      <c r="AD677" s="301">
        <f t="shared" si="414"/>
        <v>8818.4</v>
      </c>
    </row>
    <row r="678" spans="1:30" outlineLevel="1">
      <c r="A678" s="45" t="s">
        <v>382</v>
      </c>
      <c r="B678" s="13" t="s">
        <v>162</v>
      </c>
      <c r="D678" s="302">
        <f t="shared" ref="D678:AD678" si="415">IF(D677&lt;D668,D667,IF(D677&lt;D670,D669,IF(D677&lt;D672,D671,IF(D677&lt;D674,D673,D675))))</f>
        <v>0.09</v>
      </c>
      <c r="E678" s="302">
        <f t="shared" si="415"/>
        <v>0.09</v>
      </c>
      <c r="F678" s="302">
        <f t="shared" si="415"/>
        <v>0.09</v>
      </c>
      <c r="G678" s="302">
        <f t="shared" si="415"/>
        <v>0.09</v>
      </c>
      <c r="H678" s="302">
        <f t="shared" si="415"/>
        <v>0.09</v>
      </c>
      <c r="I678" s="302">
        <f t="shared" si="415"/>
        <v>0.09</v>
      </c>
      <c r="J678" s="302">
        <f t="shared" si="415"/>
        <v>0.09</v>
      </c>
      <c r="K678" s="302">
        <f t="shared" si="415"/>
        <v>0.09</v>
      </c>
      <c r="L678" s="302">
        <f t="shared" si="415"/>
        <v>0.09</v>
      </c>
      <c r="M678" s="302">
        <f t="shared" si="415"/>
        <v>0.09</v>
      </c>
      <c r="N678" s="302">
        <f t="shared" si="415"/>
        <v>0.09</v>
      </c>
      <c r="O678" s="302">
        <f t="shared" si="415"/>
        <v>0.09</v>
      </c>
      <c r="P678" s="302">
        <f t="shared" si="415"/>
        <v>0.09</v>
      </c>
      <c r="Q678" s="302">
        <f t="shared" si="415"/>
        <v>0.09</v>
      </c>
      <c r="R678" s="302">
        <f t="shared" si="415"/>
        <v>0.09</v>
      </c>
      <c r="S678" s="302">
        <f t="shared" si="415"/>
        <v>0.09</v>
      </c>
      <c r="T678" s="302">
        <f t="shared" si="415"/>
        <v>0.09</v>
      </c>
      <c r="U678" s="302">
        <f t="shared" si="415"/>
        <v>0.09</v>
      </c>
      <c r="V678" s="302">
        <f t="shared" si="415"/>
        <v>0.09</v>
      </c>
      <c r="W678" s="302">
        <f t="shared" si="415"/>
        <v>0.09</v>
      </c>
      <c r="X678" s="302">
        <f t="shared" si="415"/>
        <v>0.09</v>
      </c>
      <c r="Y678" s="302">
        <f t="shared" si="415"/>
        <v>0.09</v>
      </c>
      <c r="Z678" s="302">
        <f t="shared" si="415"/>
        <v>0.09</v>
      </c>
      <c r="AA678" s="302">
        <f t="shared" si="415"/>
        <v>0.09</v>
      </c>
      <c r="AB678" s="302">
        <f t="shared" si="415"/>
        <v>0.09</v>
      </c>
      <c r="AC678" s="302">
        <f t="shared" si="415"/>
        <v>0.09</v>
      </c>
      <c r="AD678" s="302">
        <f t="shared" si="415"/>
        <v>0.09</v>
      </c>
    </row>
    <row r="679" spans="1:30" s="45" customFormat="1" outlineLevel="1">
      <c r="A679" s="59" t="s">
        <v>138</v>
      </c>
      <c r="B679" s="45" t="s">
        <v>284</v>
      </c>
      <c r="C679" s="44">
        <f>SUM(D679:AD679)</f>
        <v>1053.4133891351387</v>
      </c>
      <c r="D679" s="55">
        <f t="shared" ref="D679:AD679" si="416">D665*D678</f>
        <v>0</v>
      </c>
      <c r="E679" s="55">
        <f t="shared" si="416"/>
        <v>0</v>
      </c>
      <c r="F679" s="55">
        <f t="shared" si="416"/>
        <v>39.168756815878531</v>
      </c>
      <c r="G679" s="55">
        <f t="shared" si="416"/>
        <v>69.911061666240016</v>
      </c>
      <c r="H679" s="55">
        <f t="shared" si="416"/>
        <v>74.622576227448448</v>
      </c>
      <c r="I679" s="55">
        <f t="shared" si="416"/>
        <v>74.614392092825483</v>
      </c>
      <c r="J679" s="55">
        <f t="shared" si="416"/>
        <v>77.275557589417616</v>
      </c>
      <c r="K679" s="55">
        <f t="shared" si="416"/>
        <v>70.930306311047005</v>
      </c>
      <c r="L679" s="55">
        <f t="shared" si="416"/>
        <v>70.492425340360526</v>
      </c>
      <c r="M679" s="55">
        <f t="shared" si="416"/>
        <v>70.696410743039706</v>
      </c>
      <c r="N679" s="55">
        <f t="shared" si="416"/>
        <v>70.688257135702727</v>
      </c>
      <c r="O679" s="55">
        <f t="shared" si="416"/>
        <v>70.680021992292367</v>
      </c>
      <c r="P679" s="55">
        <f t="shared" si="416"/>
        <v>70.894003977587317</v>
      </c>
      <c r="Q679" s="55">
        <f t="shared" si="416"/>
        <v>68.783459612914825</v>
      </c>
      <c r="R679" s="55">
        <f t="shared" si="416"/>
        <v>68.325539398928001</v>
      </c>
      <c r="S679" s="55">
        <f t="shared" si="416"/>
        <v>68.317252387427942</v>
      </c>
      <c r="T679" s="55">
        <f t="shared" si="416"/>
        <v>88.013367844028153</v>
      </c>
      <c r="U679" s="55">
        <f t="shared" si="416"/>
        <v>0</v>
      </c>
      <c r="V679" s="55">
        <f t="shared" si="416"/>
        <v>0</v>
      </c>
      <c r="W679" s="55">
        <f t="shared" si="416"/>
        <v>0</v>
      </c>
      <c r="X679" s="55">
        <f t="shared" si="416"/>
        <v>0</v>
      </c>
      <c r="Y679" s="55">
        <f t="shared" si="416"/>
        <v>0</v>
      </c>
      <c r="Z679" s="55">
        <f t="shared" si="416"/>
        <v>0</v>
      </c>
      <c r="AA679" s="55">
        <f t="shared" si="416"/>
        <v>0</v>
      </c>
      <c r="AB679" s="55">
        <f t="shared" si="416"/>
        <v>0</v>
      </c>
      <c r="AC679" s="55">
        <f t="shared" si="416"/>
        <v>0</v>
      </c>
      <c r="AD679" s="55">
        <f t="shared" si="416"/>
        <v>0</v>
      </c>
    </row>
    <row r="680" spans="1:30" s="45" customFormat="1" outlineLevel="1">
      <c r="A680" s="41"/>
      <c r="C680" s="303"/>
      <c r="D680" s="42"/>
      <c r="E680" s="42"/>
      <c r="F680" s="42"/>
      <c r="G680" s="42"/>
      <c r="H680" s="42"/>
      <c r="I680" s="42"/>
      <c r="J680" s="42"/>
      <c r="K680" s="42"/>
      <c r="L680" s="42"/>
      <c r="M680" s="42"/>
      <c r="N680" s="42"/>
      <c r="O680" s="42"/>
      <c r="P680" s="42"/>
      <c r="Q680" s="42"/>
      <c r="R680" s="42"/>
      <c r="S680" s="42"/>
      <c r="T680" s="42"/>
      <c r="U680" s="42"/>
      <c r="V680" s="42"/>
      <c r="W680" s="42"/>
      <c r="X680" s="42"/>
      <c r="Y680" s="42"/>
      <c r="Z680" s="42"/>
      <c r="AA680" s="42"/>
      <c r="AB680" s="42"/>
      <c r="AC680" s="42"/>
      <c r="AD680" s="42"/>
    </row>
    <row r="681" spans="1:30" customFormat="1" ht="15.5" outlineLevel="1">
      <c r="A681" s="1" t="s">
        <v>165</v>
      </c>
      <c r="C681" s="3"/>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row>
    <row r="682" spans="1:30" s="45" customFormat="1" ht="15" customHeight="1" outlineLevel="1">
      <c r="A682" s="45" t="str">
        <f>A326</f>
        <v>moly revenue in A$</v>
      </c>
      <c r="B682" s="45" t="str">
        <f>B326</f>
        <v>A$ million Real</v>
      </c>
      <c r="C682" s="42">
        <f>SUM(D682:AD682)</f>
        <v>2057.2784529230762</v>
      </c>
      <c r="D682" s="42">
        <f t="shared" ref="D682:AD682" si="417">D326</f>
        <v>0</v>
      </c>
      <c r="E682" s="42">
        <f t="shared" si="417"/>
        <v>0</v>
      </c>
      <c r="F682" s="42">
        <f t="shared" si="417"/>
        <v>138.52313598543464</v>
      </c>
      <c r="G682" s="42">
        <f t="shared" si="417"/>
        <v>259.83582174237591</v>
      </c>
      <c r="H682" s="42">
        <f t="shared" si="417"/>
        <v>283.76254523076915</v>
      </c>
      <c r="I682" s="42">
        <f t="shared" si="417"/>
        <v>283.76254523076915</v>
      </c>
      <c r="J682" s="42">
        <f t="shared" si="417"/>
        <v>293.20730450250335</v>
      </c>
      <c r="K682" s="42">
        <f t="shared" si="417"/>
        <v>211.037898838416</v>
      </c>
      <c r="L682" s="42">
        <f t="shared" si="417"/>
        <v>124.67082238689119</v>
      </c>
      <c r="M682" s="42">
        <f t="shared" si="417"/>
        <v>106.41095446153847</v>
      </c>
      <c r="N682" s="42">
        <f t="shared" si="417"/>
        <v>106.41095446153847</v>
      </c>
      <c r="O682" s="42">
        <f t="shared" si="417"/>
        <v>106.41095446153847</v>
      </c>
      <c r="P682" s="42">
        <f t="shared" si="417"/>
        <v>143.24551562130176</v>
      </c>
      <c r="Q682" s="42">
        <f t="shared" si="417"/>
        <v>0</v>
      </c>
      <c r="R682" s="42">
        <f t="shared" si="417"/>
        <v>0</v>
      </c>
      <c r="S682" s="42">
        <f t="shared" si="417"/>
        <v>0</v>
      </c>
      <c r="T682" s="42">
        <f t="shared" si="417"/>
        <v>0</v>
      </c>
      <c r="U682" s="42">
        <f t="shared" si="417"/>
        <v>0</v>
      </c>
      <c r="V682" s="42">
        <f t="shared" si="417"/>
        <v>0</v>
      </c>
      <c r="W682" s="42">
        <f t="shared" si="417"/>
        <v>0</v>
      </c>
      <c r="X682" s="42">
        <f t="shared" si="417"/>
        <v>0</v>
      </c>
      <c r="Y682" s="42">
        <f t="shared" si="417"/>
        <v>0</v>
      </c>
      <c r="Z682" s="42">
        <f t="shared" si="417"/>
        <v>0</v>
      </c>
      <c r="AA682" s="42">
        <f t="shared" si="417"/>
        <v>0</v>
      </c>
      <c r="AB682" s="42">
        <f t="shared" si="417"/>
        <v>0</v>
      </c>
      <c r="AC682" s="42">
        <f t="shared" si="417"/>
        <v>0</v>
      </c>
      <c r="AD682" s="42">
        <f t="shared" si="417"/>
        <v>0</v>
      </c>
    </row>
    <row r="683" spans="1:30" ht="12.65" customHeight="1" outlineLevel="1">
      <c r="A683" s="247" t="str">
        <f>'Expected NPV &amp; Common Data'!A87</f>
        <v>State molybdenum royalty</v>
      </c>
      <c r="B683" s="247" t="str">
        <f>'Expected NPV &amp; Common Data'!B87</f>
        <v>%</v>
      </c>
      <c r="C683" s="262"/>
      <c r="D683" s="263">
        <f>'Expected NPV &amp; Common Data'!D87</f>
        <v>0.05</v>
      </c>
      <c r="E683" s="263">
        <f>'Expected NPV &amp; Common Data'!E87</f>
        <v>0.05</v>
      </c>
      <c r="F683" s="263">
        <f>'Expected NPV &amp; Common Data'!F87</f>
        <v>0.05</v>
      </c>
      <c r="G683" s="263">
        <f>'Expected NPV &amp; Common Data'!G87</f>
        <v>0.05</v>
      </c>
      <c r="H683" s="263">
        <f>'Expected NPV &amp; Common Data'!H87</f>
        <v>0.05</v>
      </c>
      <c r="I683" s="263">
        <f>'Expected NPV &amp; Common Data'!I87</f>
        <v>0.05</v>
      </c>
      <c r="J683" s="263">
        <f>'Expected NPV &amp; Common Data'!J87</f>
        <v>0.05</v>
      </c>
      <c r="K683" s="263">
        <f>'Expected NPV &amp; Common Data'!K87</f>
        <v>0.05</v>
      </c>
      <c r="L683" s="263">
        <f>'Expected NPV &amp; Common Data'!L87</f>
        <v>0.05</v>
      </c>
      <c r="M683" s="263">
        <f>'Expected NPV &amp; Common Data'!M87</f>
        <v>0.05</v>
      </c>
      <c r="N683" s="263">
        <f>'Expected NPV &amp; Common Data'!N87</f>
        <v>0.05</v>
      </c>
      <c r="O683" s="263">
        <f>'Expected NPV &amp; Common Data'!O87</f>
        <v>0.05</v>
      </c>
      <c r="P683" s="263">
        <f>'Expected NPV &amp; Common Data'!P87</f>
        <v>0.05</v>
      </c>
      <c r="Q683" s="263">
        <f>'Expected NPV &amp; Common Data'!Q87</f>
        <v>0.05</v>
      </c>
      <c r="R683" s="263">
        <f>'Expected NPV &amp; Common Data'!R87</f>
        <v>0.05</v>
      </c>
      <c r="S683" s="263">
        <f>'Expected NPV &amp; Common Data'!S87</f>
        <v>0.05</v>
      </c>
      <c r="T683" s="263">
        <f>'Expected NPV &amp; Common Data'!T87</f>
        <v>0.05</v>
      </c>
      <c r="U683" s="263">
        <f>'Expected NPV &amp; Common Data'!U87</f>
        <v>0.05</v>
      </c>
      <c r="V683" s="263">
        <f>'Expected NPV &amp; Common Data'!V87</f>
        <v>0.05</v>
      </c>
      <c r="W683" s="263">
        <f>'Expected NPV &amp; Common Data'!W87</f>
        <v>0.05</v>
      </c>
      <c r="X683" s="263">
        <f>'Expected NPV &amp; Common Data'!X87</f>
        <v>0.05</v>
      </c>
      <c r="Y683" s="263">
        <f>'Expected NPV &amp; Common Data'!Y87</f>
        <v>0.05</v>
      </c>
      <c r="Z683" s="263">
        <f>'Expected NPV &amp; Common Data'!Z87</f>
        <v>0.05</v>
      </c>
      <c r="AA683" s="263">
        <f>'Expected NPV &amp; Common Data'!AA87</f>
        <v>0.05</v>
      </c>
      <c r="AB683" s="263">
        <f>'Expected NPV &amp; Common Data'!AB87</f>
        <v>0.05</v>
      </c>
      <c r="AC683" s="263">
        <f>'Expected NPV &amp; Common Data'!AC87</f>
        <v>0.05</v>
      </c>
      <c r="AD683" s="263">
        <f>'Expected NPV &amp; Common Data'!AD87</f>
        <v>0.05</v>
      </c>
    </row>
    <row r="684" spans="1:30" s="45" customFormat="1" outlineLevel="1">
      <c r="A684" s="59" t="s">
        <v>139</v>
      </c>
      <c r="B684" s="45" t="s">
        <v>284</v>
      </c>
      <c r="C684" s="44">
        <f>SUM(D684:AD684)</f>
        <v>102.86392264615385</v>
      </c>
      <c r="D684" s="68">
        <f>D682*D683</f>
        <v>0</v>
      </c>
      <c r="E684" s="68">
        <f t="shared" ref="E684:AD684" si="418">E682*E683</f>
        <v>0</v>
      </c>
      <c r="F684" s="68">
        <f t="shared" si="418"/>
        <v>6.9261567992717321</v>
      </c>
      <c r="G684" s="68">
        <f t="shared" si="418"/>
        <v>12.991791087118797</v>
      </c>
      <c r="H684" s="68">
        <f t="shared" si="418"/>
        <v>14.188127261538458</v>
      </c>
      <c r="I684" s="68">
        <f t="shared" si="418"/>
        <v>14.188127261538458</v>
      </c>
      <c r="J684" s="68">
        <f t="shared" si="418"/>
        <v>14.660365225125169</v>
      </c>
      <c r="K684" s="68">
        <f t="shared" si="418"/>
        <v>10.5518949419208</v>
      </c>
      <c r="L684" s="68">
        <f t="shared" si="418"/>
        <v>6.2335411193445598</v>
      </c>
      <c r="M684" s="68">
        <f t="shared" si="418"/>
        <v>5.320547723076924</v>
      </c>
      <c r="N684" s="68">
        <f t="shared" si="418"/>
        <v>5.320547723076924</v>
      </c>
      <c r="O684" s="68">
        <f t="shared" si="418"/>
        <v>5.320547723076924</v>
      </c>
      <c r="P684" s="68">
        <f t="shared" si="418"/>
        <v>7.1622757810650883</v>
      </c>
      <c r="Q684" s="68">
        <f t="shared" si="418"/>
        <v>0</v>
      </c>
      <c r="R684" s="68">
        <f t="shared" si="418"/>
        <v>0</v>
      </c>
      <c r="S684" s="68">
        <f t="shared" si="418"/>
        <v>0</v>
      </c>
      <c r="T684" s="68">
        <f t="shared" si="418"/>
        <v>0</v>
      </c>
      <c r="U684" s="68">
        <f t="shared" si="418"/>
        <v>0</v>
      </c>
      <c r="V684" s="68">
        <f t="shared" si="418"/>
        <v>0</v>
      </c>
      <c r="W684" s="68">
        <f t="shared" si="418"/>
        <v>0</v>
      </c>
      <c r="X684" s="68">
        <f t="shared" si="418"/>
        <v>0</v>
      </c>
      <c r="Y684" s="68">
        <f t="shared" si="418"/>
        <v>0</v>
      </c>
      <c r="Z684" s="68">
        <f t="shared" si="418"/>
        <v>0</v>
      </c>
      <c r="AA684" s="68">
        <f t="shared" si="418"/>
        <v>0</v>
      </c>
      <c r="AB684" s="68">
        <f t="shared" si="418"/>
        <v>0</v>
      </c>
      <c r="AC684" s="68">
        <f t="shared" si="418"/>
        <v>0</v>
      </c>
      <c r="AD684" s="68">
        <f t="shared" si="418"/>
        <v>0</v>
      </c>
    </row>
    <row r="685" spans="1:30" s="45" customFormat="1" outlineLevel="1">
      <c r="A685" s="41"/>
      <c r="C685" s="303"/>
      <c r="D685" s="42"/>
      <c r="E685" s="42"/>
      <c r="F685" s="42"/>
      <c r="G685" s="42"/>
      <c r="H685" s="42"/>
      <c r="I685" s="42"/>
      <c r="J685" s="42"/>
      <c r="K685" s="42"/>
      <c r="L685" s="42"/>
      <c r="M685" s="42"/>
      <c r="N685" s="42"/>
      <c r="O685" s="42"/>
      <c r="P685" s="42"/>
      <c r="Q685" s="42"/>
      <c r="R685" s="42"/>
      <c r="S685" s="42"/>
      <c r="T685" s="42"/>
      <c r="U685" s="42"/>
      <c r="V685" s="42"/>
      <c r="W685" s="42"/>
      <c r="X685" s="42"/>
      <c r="Y685" s="42"/>
      <c r="Z685" s="42"/>
      <c r="AA685" s="42"/>
      <c r="AB685" s="42"/>
      <c r="AC685" s="42"/>
      <c r="AD685" s="42"/>
    </row>
    <row r="686" spans="1:30" customFormat="1" ht="15.5" outlineLevel="1">
      <c r="A686" s="1" t="s">
        <v>166</v>
      </c>
      <c r="C686" s="3"/>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row>
    <row r="687" spans="1:30" s="45" customFormat="1" outlineLevel="1">
      <c r="A687" s="45" t="str">
        <f>A324</f>
        <v>gold revenue after TC/RC in A$</v>
      </c>
      <c r="B687" s="45" t="str">
        <f>B324</f>
        <v>A$ million Real</v>
      </c>
      <c r="C687" s="42">
        <f>SUM(D687:AD687)</f>
        <v>1698.5230637113602</v>
      </c>
      <c r="D687" s="42">
        <f t="shared" ref="D687:AD687" si="419">D324</f>
        <v>0</v>
      </c>
      <c r="E687" s="42">
        <f t="shared" si="419"/>
        <v>0</v>
      </c>
      <c r="F687" s="42">
        <f t="shared" si="419"/>
        <v>66.676356629253277</v>
      </c>
      <c r="G687" s="42">
        <f t="shared" si="419"/>
        <v>119.02129058625687</v>
      </c>
      <c r="H687" s="42">
        <f t="shared" si="419"/>
        <v>127.05628493692799</v>
      </c>
      <c r="I687" s="42">
        <f t="shared" si="419"/>
        <v>127.05628493692799</v>
      </c>
      <c r="J687" s="42">
        <f t="shared" si="419"/>
        <v>131.60240016164983</v>
      </c>
      <c r="K687" s="42">
        <f t="shared" si="419"/>
        <v>116.94103439336301</v>
      </c>
      <c r="L687" s="42">
        <f t="shared" si="419"/>
        <v>112.28030440150042</v>
      </c>
      <c r="M687" s="42">
        <f t="shared" si="419"/>
        <v>112.61807073954982</v>
      </c>
      <c r="N687" s="42">
        <f t="shared" si="419"/>
        <v>112.61807073954982</v>
      </c>
      <c r="O687" s="42">
        <f t="shared" si="419"/>
        <v>112.61807073954982</v>
      </c>
      <c r="P687" s="42">
        <f t="shared" si="419"/>
        <v>113.54312096299103</v>
      </c>
      <c r="Q687" s="42">
        <f t="shared" si="419"/>
        <v>104.63928756437819</v>
      </c>
      <c r="R687" s="42">
        <f t="shared" si="419"/>
        <v>103.95514222112293</v>
      </c>
      <c r="S687" s="42">
        <f t="shared" si="419"/>
        <v>103.95514222112293</v>
      </c>
      <c r="T687" s="42">
        <f t="shared" si="419"/>
        <v>133.94220247721611</v>
      </c>
      <c r="U687" s="42">
        <f t="shared" si="419"/>
        <v>0</v>
      </c>
      <c r="V687" s="42">
        <f t="shared" si="419"/>
        <v>0</v>
      </c>
      <c r="W687" s="42">
        <f t="shared" si="419"/>
        <v>0</v>
      </c>
      <c r="X687" s="42">
        <f t="shared" si="419"/>
        <v>0</v>
      </c>
      <c r="Y687" s="42">
        <f t="shared" si="419"/>
        <v>0</v>
      </c>
      <c r="Z687" s="42">
        <f t="shared" si="419"/>
        <v>0</v>
      </c>
      <c r="AA687" s="42">
        <f t="shared" si="419"/>
        <v>0</v>
      </c>
      <c r="AB687" s="42">
        <f t="shared" si="419"/>
        <v>0</v>
      </c>
      <c r="AC687" s="42">
        <f t="shared" si="419"/>
        <v>0</v>
      </c>
      <c r="AD687" s="42">
        <f t="shared" si="419"/>
        <v>0</v>
      </c>
    </row>
    <row r="688" spans="1:30" outlineLevel="1">
      <c r="A688" s="247" t="str">
        <f>'Expected NPV &amp; Common Data'!A90</f>
        <v>State gold royalty</v>
      </c>
      <c r="B688" s="247" t="str">
        <f>'Expected NPV &amp; Common Data'!B90</f>
        <v>%</v>
      </c>
      <c r="C688" s="262"/>
      <c r="D688" s="263">
        <f>'Expected NPV &amp; Common Data'!D90</f>
        <v>0.05</v>
      </c>
      <c r="E688" s="263">
        <f>'Expected NPV &amp; Common Data'!E90</f>
        <v>0.05</v>
      </c>
      <c r="F688" s="263">
        <f>'Expected NPV &amp; Common Data'!F90</f>
        <v>0.05</v>
      </c>
      <c r="G688" s="263">
        <f>'Expected NPV &amp; Common Data'!G90</f>
        <v>0.05</v>
      </c>
      <c r="H688" s="263">
        <f>'Expected NPV &amp; Common Data'!H90</f>
        <v>0.05</v>
      </c>
      <c r="I688" s="263">
        <f>'Expected NPV &amp; Common Data'!I90</f>
        <v>0.05</v>
      </c>
      <c r="J688" s="263">
        <f>'Expected NPV &amp; Common Data'!J90</f>
        <v>0.05</v>
      </c>
      <c r="K688" s="263">
        <f>'Expected NPV &amp; Common Data'!K90</f>
        <v>0.05</v>
      </c>
      <c r="L688" s="263">
        <f>'Expected NPV &amp; Common Data'!L90</f>
        <v>0.05</v>
      </c>
      <c r="M688" s="263">
        <f>'Expected NPV &amp; Common Data'!M90</f>
        <v>0.05</v>
      </c>
      <c r="N688" s="263">
        <f>'Expected NPV &amp; Common Data'!N90</f>
        <v>0.05</v>
      </c>
      <c r="O688" s="263">
        <f>'Expected NPV &amp; Common Data'!O90</f>
        <v>0.05</v>
      </c>
      <c r="P688" s="263">
        <f>'Expected NPV &amp; Common Data'!P90</f>
        <v>0.05</v>
      </c>
      <c r="Q688" s="263">
        <f>'Expected NPV &amp; Common Data'!Q90</f>
        <v>0.05</v>
      </c>
      <c r="R688" s="263">
        <f>'Expected NPV &amp; Common Data'!R90</f>
        <v>0.05</v>
      </c>
      <c r="S688" s="263">
        <f>'Expected NPV &amp; Common Data'!S90</f>
        <v>0.05</v>
      </c>
      <c r="T688" s="263">
        <f>'Expected NPV &amp; Common Data'!T90</f>
        <v>0.05</v>
      </c>
      <c r="U688" s="263">
        <f>'Expected NPV &amp; Common Data'!U90</f>
        <v>0.05</v>
      </c>
      <c r="V688" s="263">
        <f>'Expected NPV &amp; Common Data'!V90</f>
        <v>0.05</v>
      </c>
      <c r="W688" s="263">
        <f>'Expected NPV &amp; Common Data'!W90</f>
        <v>0.05</v>
      </c>
      <c r="X688" s="263">
        <f>'Expected NPV &amp; Common Data'!X90</f>
        <v>0.05</v>
      </c>
      <c r="Y688" s="263">
        <f>'Expected NPV &amp; Common Data'!Y90</f>
        <v>0.05</v>
      </c>
      <c r="Z688" s="263">
        <f>'Expected NPV &amp; Common Data'!Z90</f>
        <v>0.05</v>
      </c>
      <c r="AA688" s="263">
        <f>'Expected NPV &amp; Common Data'!AA90</f>
        <v>0.05</v>
      </c>
      <c r="AB688" s="263">
        <f>'Expected NPV &amp; Common Data'!AB90</f>
        <v>0.05</v>
      </c>
      <c r="AC688" s="263">
        <f>'Expected NPV &amp; Common Data'!AC90</f>
        <v>0.05</v>
      </c>
      <c r="AD688" s="263">
        <f>'Expected NPV &amp; Common Data'!AD90</f>
        <v>0.05</v>
      </c>
    </row>
    <row r="689" spans="1:30" s="45" customFormat="1" outlineLevel="1">
      <c r="A689" s="59" t="s">
        <v>140</v>
      </c>
      <c r="B689" s="45" t="s">
        <v>284</v>
      </c>
      <c r="C689" s="44">
        <f>SUM(D689:AD689)</f>
        <v>84.926153185568012</v>
      </c>
      <c r="D689" s="68">
        <f>D687*D688</f>
        <v>0</v>
      </c>
      <c r="E689" s="68">
        <f t="shared" ref="E689:AD689" si="420">E687*E688</f>
        <v>0</v>
      </c>
      <c r="F689" s="68">
        <f t="shared" si="420"/>
        <v>3.3338178314626639</v>
      </c>
      <c r="G689" s="68">
        <f t="shared" si="420"/>
        <v>5.9510645293128439</v>
      </c>
      <c r="H689" s="68">
        <f t="shared" si="420"/>
        <v>6.3528142468463997</v>
      </c>
      <c r="I689" s="68">
        <f t="shared" si="420"/>
        <v>6.3528142468463997</v>
      </c>
      <c r="J689" s="68">
        <f t="shared" si="420"/>
        <v>6.580120008082492</v>
      </c>
      <c r="K689" s="68">
        <f t="shared" si="420"/>
        <v>5.8470517196681513</v>
      </c>
      <c r="L689" s="68">
        <f t="shared" si="420"/>
        <v>5.6140152200750215</v>
      </c>
      <c r="M689" s="68">
        <f t="shared" si="420"/>
        <v>5.6309035369774918</v>
      </c>
      <c r="N689" s="68">
        <f t="shared" si="420"/>
        <v>5.6309035369774918</v>
      </c>
      <c r="O689" s="68">
        <f t="shared" si="420"/>
        <v>5.6309035369774918</v>
      </c>
      <c r="P689" s="68">
        <f t="shared" si="420"/>
        <v>5.677156048149552</v>
      </c>
      <c r="Q689" s="68">
        <f t="shared" si="420"/>
        <v>5.23196437821891</v>
      </c>
      <c r="R689" s="68">
        <f t="shared" si="420"/>
        <v>5.1977571110561467</v>
      </c>
      <c r="S689" s="68">
        <f t="shared" si="420"/>
        <v>5.1977571110561467</v>
      </c>
      <c r="T689" s="68">
        <f t="shared" si="420"/>
        <v>6.6971101238608064</v>
      </c>
      <c r="U689" s="68">
        <f t="shared" si="420"/>
        <v>0</v>
      </c>
      <c r="V689" s="68">
        <f t="shared" si="420"/>
        <v>0</v>
      </c>
      <c r="W689" s="68">
        <f t="shared" si="420"/>
        <v>0</v>
      </c>
      <c r="X689" s="68">
        <f t="shared" si="420"/>
        <v>0</v>
      </c>
      <c r="Y689" s="68">
        <f t="shared" si="420"/>
        <v>0</v>
      </c>
      <c r="Z689" s="68">
        <f t="shared" si="420"/>
        <v>0</v>
      </c>
      <c r="AA689" s="68">
        <f t="shared" si="420"/>
        <v>0</v>
      </c>
      <c r="AB689" s="68">
        <f t="shared" si="420"/>
        <v>0</v>
      </c>
      <c r="AC689" s="68">
        <f t="shared" si="420"/>
        <v>0</v>
      </c>
      <c r="AD689" s="68">
        <f t="shared" si="420"/>
        <v>0</v>
      </c>
    </row>
    <row r="690" spans="1:30" s="45" customFormat="1" outlineLevel="1">
      <c r="A690" s="41"/>
      <c r="C690" s="303"/>
      <c r="D690" s="42"/>
      <c r="E690" s="42"/>
      <c r="F690" s="42"/>
      <c r="G690" s="42"/>
      <c r="H690" s="42"/>
      <c r="I690" s="42"/>
      <c r="J690" s="42"/>
      <c r="K690" s="42"/>
      <c r="L690" s="42"/>
      <c r="M690" s="42"/>
      <c r="N690" s="42"/>
      <c r="O690" s="42"/>
      <c r="P690" s="42"/>
      <c r="Q690" s="42"/>
      <c r="R690" s="42"/>
      <c r="S690" s="42"/>
      <c r="T690" s="42"/>
      <c r="U690" s="42"/>
      <c r="V690" s="42"/>
      <c r="W690" s="42"/>
      <c r="X690" s="42"/>
      <c r="Y690" s="42"/>
      <c r="Z690" s="42"/>
      <c r="AA690" s="42"/>
      <c r="AB690" s="42"/>
      <c r="AC690" s="42"/>
      <c r="AD690" s="42"/>
    </row>
    <row r="691" spans="1:30" customFormat="1" ht="15.5" outlineLevel="1">
      <c r="A691" s="1" t="s">
        <v>167</v>
      </c>
      <c r="C691" s="3"/>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row>
    <row r="692" spans="1:30" s="45" customFormat="1" outlineLevel="1">
      <c r="A692" s="45" t="str">
        <f>A325</f>
        <v>silver revenue after TC/RC in A$</v>
      </c>
      <c r="B692" s="45" t="str">
        <f>B325</f>
        <v>A$ million Real</v>
      </c>
      <c r="C692" s="42">
        <f>SUM(D692:AD692)</f>
        <v>21.912805032954338</v>
      </c>
      <c r="D692" s="56">
        <f t="shared" ref="D692:AD692" si="421">D325</f>
        <v>0</v>
      </c>
      <c r="E692" s="56">
        <f t="shared" si="421"/>
        <v>0</v>
      </c>
      <c r="F692" s="56">
        <f t="shared" si="421"/>
        <v>2.4547755926141752</v>
      </c>
      <c r="G692" s="56">
        <f t="shared" si="421"/>
        <v>4.381921477161173</v>
      </c>
      <c r="H692" s="56">
        <f t="shared" si="421"/>
        <v>4.6777401003726062</v>
      </c>
      <c r="I692" s="56">
        <f t="shared" si="421"/>
        <v>4.6777401003726062</v>
      </c>
      <c r="J692" s="56">
        <f t="shared" si="421"/>
        <v>4.8451111635053934</v>
      </c>
      <c r="K692" s="56">
        <f t="shared" si="421"/>
        <v>0.8755165989283854</v>
      </c>
      <c r="L692" s="56">
        <f t="shared" si="421"/>
        <v>0</v>
      </c>
      <c r="M692" s="56">
        <f t="shared" si="421"/>
        <v>0</v>
      </c>
      <c r="N692" s="56">
        <f t="shared" si="421"/>
        <v>0</v>
      </c>
      <c r="O692" s="56">
        <f t="shared" si="421"/>
        <v>0</v>
      </c>
      <c r="P692" s="56">
        <f t="shared" si="421"/>
        <v>0</v>
      </c>
      <c r="Q692" s="56">
        <f t="shared" si="421"/>
        <v>0</v>
      </c>
      <c r="R692" s="56">
        <f t="shared" si="421"/>
        <v>0</v>
      </c>
      <c r="S692" s="56">
        <f t="shared" si="421"/>
        <v>0</v>
      </c>
      <c r="T692" s="56">
        <f t="shared" si="421"/>
        <v>0</v>
      </c>
      <c r="U692" s="56">
        <f t="shared" si="421"/>
        <v>0</v>
      </c>
      <c r="V692" s="56">
        <f t="shared" si="421"/>
        <v>0</v>
      </c>
      <c r="W692" s="56">
        <f t="shared" si="421"/>
        <v>0</v>
      </c>
      <c r="X692" s="56">
        <f t="shared" si="421"/>
        <v>0</v>
      </c>
      <c r="Y692" s="56">
        <f t="shared" si="421"/>
        <v>0</v>
      </c>
      <c r="Z692" s="56">
        <f t="shared" si="421"/>
        <v>0</v>
      </c>
      <c r="AA692" s="56">
        <f t="shared" si="421"/>
        <v>0</v>
      </c>
      <c r="AB692" s="56">
        <f t="shared" si="421"/>
        <v>0</v>
      </c>
      <c r="AC692" s="56">
        <f t="shared" si="421"/>
        <v>0</v>
      </c>
      <c r="AD692" s="56">
        <f t="shared" si="421"/>
        <v>0</v>
      </c>
    </row>
    <row r="693" spans="1:30" outlineLevel="1">
      <c r="A693" s="247" t="str">
        <f>'Expected NPV &amp; Common Data'!A93</f>
        <v>State silver royalty</v>
      </c>
      <c r="B693" s="247" t="str">
        <f>'Expected NPV &amp; Common Data'!B93</f>
        <v>%</v>
      </c>
      <c r="C693" s="262"/>
      <c r="D693" s="263">
        <f>'Expected NPV &amp; Common Data'!D93</f>
        <v>0.03</v>
      </c>
      <c r="E693" s="263">
        <f>'Expected NPV &amp; Common Data'!E93</f>
        <v>0.03</v>
      </c>
      <c r="F693" s="263">
        <f>'Expected NPV &amp; Common Data'!F93</f>
        <v>0.03</v>
      </c>
      <c r="G693" s="263">
        <f>'Expected NPV &amp; Common Data'!G93</f>
        <v>0.03</v>
      </c>
      <c r="H693" s="263">
        <f>'Expected NPV &amp; Common Data'!H93</f>
        <v>0.03</v>
      </c>
      <c r="I693" s="263">
        <f>'Expected NPV &amp; Common Data'!I93</f>
        <v>0.03</v>
      </c>
      <c r="J693" s="263">
        <f>'Expected NPV &amp; Common Data'!J93</f>
        <v>0.03</v>
      </c>
      <c r="K693" s="263">
        <f>'Expected NPV &amp; Common Data'!K93</f>
        <v>0.03</v>
      </c>
      <c r="L693" s="263">
        <f>'Expected NPV &amp; Common Data'!L93</f>
        <v>0.03</v>
      </c>
      <c r="M693" s="263">
        <f>'Expected NPV &amp; Common Data'!M93</f>
        <v>0.03</v>
      </c>
      <c r="N693" s="263">
        <f>'Expected NPV &amp; Common Data'!N93</f>
        <v>0.03</v>
      </c>
      <c r="O693" s="263">
        <f>'Expected NPV &amp; Common Data'!O93</f>
        <v>0.03</v>
      </c>
      <c r="P693" s="263">
        <f>'Expected NPV &amp; Common Data'!P93</f>
        <v>0.03</v>
      </c>
      <c r="Q693" s="263">
        <f>'Expected NPV &amp; Common Data'!Q93</f>
        <v>0.03</v>
      </c>
      <c r="R693" s="263">
        <f>'Expected NPV &amp; Common Data'!R93</f>
        <v>0.03</v>
      </c>
      <c r="S693" s="263">
        <f>'Expected NPV &amp; Common Data'!S93</f>
        <v>0.03</v>
      </c>
      <c r="T693" s="263">
        <f>'Expected NPV &amp; Common Data'!T93</f>
        <v>0.03</v>
      </c>
      <c r="U693" s="263">
        <f>'Expected NPV &amp; Common Data'!U93</f>
        <v>0.03</v>
      </c>
      <c r="V693" s="263">
        <f>'Expected NPV &amp; Common Data'!V93</f>
        <v>0.03</v>
      </c>
      <c r="W693" s="263">
        <f>'Expected NPV &amp; Common Data'!W93</f>
        <v>0.03</v>
      </c>
      <c r="X693" s="263">
        <f>'Expected NPV &amp; Common Data'!X93</f>
        <v>0.03</v>
      </c>
      <c r="Y693" s="263">
        <f>'Expected NPV &amp; Common Data'!Y93</f>
        <v>0.03</v>
      </c>
      <c r="Z693" s="263">
        <f>'Expected NPV &amp; Common Data'!Z93</f>
        <v>0.03</v>
      </c>
      <c r="AA693" s="263">
        <f>'Expected NPV &amp; Common Data'!AA93</f>
        <v>0.03</v>
      </c>
      <c r="AB693" s="263">
        <f>'Expected NPV &amp; Common Data'!AB93</f>
        <v>0.03</v>
      </c>
      <c r="AC693" s="263">
        <f>'Expected NPV &amp; Common Data'!AC93</f>
        <v>0.03</v>
      </c>
      <c r="AD693" s="263">
        <f>'Expected NPV &amp; Common Data'!AD93</f>
        <v>0.03</v>
      </c>
    </row>
    <row r="694" spans="1:30" s="45" customFormat="1" outlineLevel="1">
      <c r="A694" s="59" t="s">
        <v>141</v>
      </c>
      <c r="B694" s="45" t="s">
        <v>284</v>
      </c>
      <c r="C694" s="44">
        <f>SUM(D694:AD694)</f>
        <v>0.65738415098863023</v>
      </c>
      <c r="D694" s="68">
        <f>D692*D693</f>
        <v>0</v>
      </c>
      <c r="E694" s="68">
        <f t="shared" ref="E694:AD694" si="422">E692*E693</f>
        <v>0</v>
      </c>
      <c r="F694" s="68">
        <f t="shared" si="422"/>
        <v>7.3643267778425253E-2</v>
      </c>
      <c r="G694" s="68">
        <f t="shared" si="422"/>
        <v>0.1314576443148352</v>
      </c>
      <c r="H694" s="68">
        <f t="shared" si="422"/>
        <v>0.14033220301117819</v>
      </c>
      <c r="I694" s="68">
        <f t="shared" si="422"/>
        <v>0.14033220301117819</v>
      </c>
      <c r="J694" s="68">
        <f t="shared" si="422"/>
        <v>0.14535333490516181</v>
      </c>
      <c r="K694" s="68">
        <f t="shared" si="422"/>
        <v>2.6265497967851562E-2</v>
      </c>
      <c r="L694" s="68">
        <f t="shared" si="422"/>
        <v>0</v>
      </c>
      <c r="M694" s="68">
        <f t="shared" si="422"/>
        <v>0</v>
      </c>
      <c r="N694" s="68">
        <f t="shared" si="422"/>
        <v>0</v>
      </c>
      <c r="O694" s="68">
        <f t="shared" si="422"/>
        <v>0</v>
      </c>
      <c r="P694" s="68">
        <f t="shared" si="422"/>
        <v>0</v>
      </c>
      <c r="Q694" s="68">
        <f t="shared" si="422"/>
        <v>0</v>
      </c>
      <c r="R694" s="68">
        <f t="shared" si="422"/>
        <v>0</v>
      </c>
      <c r="S694" s="68">
        <f t="shared" si="422"/>
        <v>0</v>
      </c>
      <c r="T694" s="68">
        <f t="shared" si="422"/>
        <v>0</v>
      </c>
      <c r="U694" s="68">
        <f t="shared" si="422"/>
        <v>0</v>
      </c>
      <c r="V694" s="68">
        <f t="shared" si="422"/>
        <v>0</v>
      </c>
      <c r="W694" s="68">
        <f t="shared" si="422"/>
        <v>0</v>
      </c>
      <c r="X694" s="68">
        <f t="shared" si="422"/>
        <v>0</v>
      </c>
      <c r="Y694" s="68">
        <f t="shared" si="422"/>
        <v>0</v>
      </c>
      <c r="Z694" s="68">
        <f t="shared" si="422"/>
        <v>0</v>
      </c>
      <c r="AA694" s="68">
        <f t="shared" si="422"/>
        <v>0</v>
      </c>
      <c r="AB694" s="68">
        <f t="shared" si="422"/>
        <v>0</v>
      </c>
      <c r="AC694" s="68">
        <f t="shared" si="422"/>
        <v>0</v>
      </c>
      <c r="AD694" s="68">
        <f t="shared" si="422"/>
        <v>0</v>
      </c>
    </row>
    <row r="695" spans="1:30" s="45" customFormat="1" ht="18.5" outlineLevel="1">
      <c r="A695" s="95"/>
      <c r="B695" s="96"/>
      <c r="C695" s="304"/>
      <c r="D695" s="42"/>
      <c r="E695" s="42"/>
      <c r="F695" s="42"/>
      <c r="G695" s="42"/>
      <c r="H695" s="42"/>
      <c r="I695" s="42"/>
      <c r="J695" s="42"/>
      <c r="K695" s="42"/>
      <c r="L695" s="42"/>
      <c r="M695" s="42"/>
      <c r="N695" s="42"/>
      <c r="O695" s="42"/>
      <c r="P695" s="42"/>
      <c r="Q695" s="42"/>
      <c r="R695" s="42"/>
      <c r="S695" s="42"/>
      <c r="T695" s="42"/>
      <c r="U695" s="42"/>
      <c r="V695" s="42"/>
      <c r="W695" s="42"/>
      <c r="X695" s="42"/>
      <c r="Y695" s="42"/>
      <c r="Z695" s="42"/>
      <c r="AA695" s="42"/>
      <c r="AB695" s="42"/>
      <c r="AC695" s="42"/>
      <c r="AD695" s="42"/>
    </row>
    <row r="696" spans="1:30" s="45" customFormat="1" ht="15.5" outlineLevel="1">
      <c r="A696" s="82" t="s">
        <v>401</v>
      </c>
      <c r="B696" s="13" t="s">
        <v>284</v>
      </c>
      <c r="C696" s="44">
        <f>SUM(D696:AD696)</f>
        <v>1241.8608491178491</v>
      </c>
      <c r="D696" s="83">
        <f t="shared" ref="D696:AD696" si="423">D679+D684+D689+D694</f>
        <v>0</v>
      </c>
      <c r="E696" s="83">
        <f t="shared" si="423"/>
        <v>0</v>
      </c>
      <c r="F696" s="83">
        <f t="shared" si="423"/>
        <v>49.502374714391351</v>
      </c>
      <c r="G696" s="83">
        <f t="shared" si="423"/>
        <v>88.985374926986495</v>
      </c>
      <c r="H696" s="83">
        <f t="shared" si="423"/>
        <v>95.303849938844479</v>
      </c>
      <c r="I696" s="83">
        <f t="shared" si="423"/>
        <v>95.295665804221528</v>
      </c>
      <c r="J696" s="83">
        <f t="shared" si="423"/>
        <v>98.661396157530433</v>
      </c>
      <c r="K696" s="83">
        <f t="shared" si="423"/>
        <v>87.355518470603798</v>
      </c>
      <c r="L696" s="83">
        <f t="shared" si="423"/>
        <v>82.339981679780109</v>
      </c>
      <c r="M696" s="83">
        <f t="shared" si="423"/>
        <v>81.647862003094133</v>
      </c>
      <c r="N696" s="83">
        <f t="shared" si="423"/>
        <v>81.63970839575714</v>
      </c>
      <c r="O696" s="83">
        <f t="shared" si="423"/>
        <v>81.63147325234678</v>
      </c>
      <c r="P696" s="83">
        <f t="shared" si="423"/>
        <v>83.733435806801964</v>
      </c>
      <c r="Q696" s="83">
        <f t="shared" si="423"/>
        <v>74.01542399113373</v>
      </c>
      <c r="R696" s="83">
        <f t="shared" si="423"/>
        <v>73.523296509984149</v>
      </c>
      <c r="S696" s="83">
        <f t="shared" si="423"/>
        <v>73.51500949848409</v>
      </c>
      <c r="T696" s="83">
        <f t="shared" si="423"/>
        <v>94.710477967888963</v>
      </c>
      <c r="U696" s="83">
        <f t="shared" si="423"/>
        <v>0</v>
      </c>
      <c r="V696" s="83">
        <f t="shared" si="423"/>
        <v>0</v>
      </c>
      <c r="W696" s="83">
        <f t="shared" si="423"/>
        <v>0</v>
      </c>
      <c r="X696" s="83">
        <f t="shared" si="423"/>
        <v>0</v>
      </c>
      <c r="Y696" s="83">
        <f t="shared" si="423"/>
        <v>0</v>
      </c>
      <c r="Z696" s="83">
        <f t="shared" si="423"/>
        <v>0</v>
      </c>
      <c r="AA696" s="83">
        <f t="shared" si="423"/>
        <v>0</v>
      </c>
      <c r="AB696" s="83">
        <f t="shared" si="423"/>
        <v>0</v>
      </c>
      <c r="AC696" s="83">
        <f t="shared" si="423"/>
        <v>0</v>
      </c>
      <c r="AD696" s="83">
        <f t="shared" si="423"/>
        <v>0</v>
      </c>
    </row>
    <row r="697" spans="1:30" outlineLevel="1">
      <c r="A697" s="144" t="str">
        <f>A$98</f>
        <v>Forex: A$ = US$  - mid case</v>
      </c>
      <c r="B697" s="142" t="str">
        <f>B$98</f>
        <v>A$1.00 = US$ ....</v>
      </c>
      <c r="C697" s="57"/>
      <c r="D697" s="57">
        <f t="shared" ref="D697:AD697" si="424">D$98</f>
        <v>0.65</v>
      </c>
      <c r="E697" s="57">
        <f t="shared" si="424"/>
        <v>0.65</v>
      </c>
      <c r="F697" s="57">
        <f t="shared" si="424"/>
        <v>0.65</v>
      </c>
      <c r="G697" s="57">
        <f t="shared" si="424"/>
        <v>0.65</v>
      </c>
      <c r="H697" s="57">
        <f t="shared" si="424"/>
        <v>0.65</v>
      </c>
      <c r="I697" s="57">
        <f t="shared" si="424"/>
        <v>0.65</v>
      </c>
      <c r="J697" s="57">
        <f t="shared" si="424"/>
        <v>0.65</v>
      </c>
      <c r="K697" s="57">
        <f t="shared" si="424"/>
        <v>0.65</v>
      </c>
      <c r="L697" s="57">
        <f t="shared" si="424"/>
        <v>0.65</v>
      </c>
      <c r="M697" s="57">
        <f t="shared" si="424"/>
        <v>0.65</v>
      </c>
      <c r="N697" s="57">
        <f t="shared" si="424"/>
        <v>0.65</v>
      </c>
      <c r="O697" s="57">
        <f t="shared" si="424"/>
        <v>0.65</v>
      </c>
      <c r="P697" s="57">
        <f t="shared" si="424"/>
        <v>0.65</v>
      </c>
      <c r="Q697" s="57">
        <f t="shared" si="424"/>
        <v>0.65</v>
      </c>
      <c r="R697" s="57">
        <f t="shared" si="424"/>
        <v>0.65</v>
      </c>
      <c r="S697" s="57">
        <f t="shared" si="424"/>
        <v>0.65</v>
      </c>
      <c r="T697" s="57">
        <f t="shared" si="424"/>
        <v>0.65</v>
      </c>
      <c r="U697" s="57">
        <f t="shared" si="424"/>
        <v>0.65</v>
      </c>
      <c r="V697" s="57">
        <f t="shared" si="424"/>
        <v>0.65</v>
      </c>
      <c r="W697" s="57">
        <f t="shared" si="424"/>
        <v>0.65</v>
      </c>
      <c r="X697" s="57">
        <f t="shared" si="424"/>
        <v>0.65</v>
      </c>
      <c r="Y697" s="57">
        <f t="shared" si="424"/>
        <v>0.65</v>
      </c>
      <c r="Z697" s="57">
        <f t="shared" si="424"/>
        <v>0.65</v>
      </c>
      <c r="AA697" s="57">
        <f t="shared" si="424"/>
        <v>0.65</v>
      </c>
      <c r="AB697" s="57">
        <f t="shared" si="424"/>
        <v>0.65</v>
      </c>
      <c r="AC697" s="57">
        <f t="shared" si="424"/>
        <v>0.65</v>
      </c>
      <c r="AD697" s="57">
        <f t="shared" si="424"/>
        <v>0.65</v>
      </c>
    </row>
    <row r="698" spans="1:30" s="45" customFormat="1" outlineLevel="1">
      <c r="A698" s="75" t="s">
        <v>401</v>
      </c>
      <c r="B698" s="45" t="s">
        <v>384</v>
      </c>
      <c r="C698" s="42">
        <f>SUM(D698:AD698)</f>
        <v>807.20955192660199</v>
      </c>
      <c r="D698" s="42">
        <f>D696*D697</f>
        <v>0</v>
      </c>
      <c r="E698" s="42">
        <f t="shared" ref="E698:AD698" si="425">E696*E697</f>
        <v>0</v>
      </c>
      <c r="F698" s="42">
        <f t="shared" si="425"/>
        <v>32.176543564354382</v>
      </c>
      <c r="G698" s="42">
        <f t="shared" si="425"/>
        <v>57.840493702541224</v>
      </c>
      <c r="H698" s="42">
        <f t="shared" si="425"/>
        <v>61.947502460248913</v>
      </c>
      <c r="I698" s="42">
        <f t="shared" si="425"/>
        <v>61.942182772743998</v>
      </c>
      <c r="J698" s="42">
        <f t="shared" si="425"/>
        <v>64.129907502394786</v>
      </c>
      <c r="K698" s="42">
        <f t="shared" si="425"/>
        <v>56.781087005892473</v>
      </c>
      <c r="L698" s="42">
        <f t="shared" si="425"/>
        <v>53.52098809185707</v>
      </c>
      <c r="M698" s="42">
        <f t="shared" si="425"/>
        <v>53.071110302011185</v>
      </c>
      <c r="N698" s="42">
        <f t="shared" si="425"/>
        <v>53.065810457242144</v>
      </c>
      <c r="O698" s="42">
        <f t="shared" si="425"/>
        <v>53.06045761402541</v>
      </c>
      <c r="P698" s="42">
        <f t="shared" si="425"/>
        <v>54.426733274421281</v>
      </c>
      <c r="Q698" s="42">
        <f t="shared" si="425"/>
        <v>48.110025594236923</v>
      </c>
      <c r="R698" s="42">
        <f t="shared" si="425"/>
        <v>47.790142731489702</v>
      </c>
      <c r="S698" s="42">
        <f t="shared" si="425"/>
        <v>47.78475617401466</v>
      </c>
      <c r="T698" s="42">
        <f t="shared" si="425"/>
        <v>61.561810679127831</v>
      </c>
      <c r="U698" s="42">
        <f t="shared" si="425"/>
        <v>0</v>
      </c>
      <c r="V698" s="42">
        <f t="shared" si="425"/>
        <v>0</v>
      </c>
      <c r="W698" s="42">
        <f t="shared" si="425"/>
        <v>0</v>
      </c>
      <c r="X698" s="42">
        <f t="shared" si="425"/>
        <v>0</v>
      </c>
      <c r="Y698" s="42">
        <f t="shared" si="425"/>
        <v>0</v>
      </c>
      <c r="Z698" s="42">
        <f t="shared" si="425"/>
        <v>0</v>
      </c>
      <c r="AA698" s="42">
        <f t="shared" si="425"/>
        <v>0</v>
      </c>
      <c r="AB698" s="42">
        <f t="shared" si="425"/>
        <v>0</v>
      </c>
      <c r="AC698" s="42">
        <f t="shared" si="425"/>
        <v>0</v>
      </c>
      <c r="AD698" s="42">
        <f t="shared" si="425"/>
        <v>0</v>
      </c>
    </row>
    <row r="699" spans="1:30" ht="54" customHeight="1">
      <c r="A699" s="23" t="s">
        <v>400</v>
      </c>
      <c r="D699" s="15"/>
      <c r="F699" s="15"/>
      <c r="G699" s="15"/>
      <c r="H699" s="15"/>
      <c r="I699" s="15"/>
      <c r="J699" s="15"/>
      <c r="K699" s="15"/>
      <c r="L699" s="15"/>
      <c r="M699" s="15"/>
      <c r="N699" s="15"/>
      <c r="O699" s="15"/>
      <c r="P699" s="15"/>
      <c r="Q699" s="15"/>
      <c r="R699" s="15"/>
      <c r="S699" s="15"/>
      <c r="T699" s="15"/>
      <c r="U699" s="15"/>
      <c r="V699" s="15"/>
      <c r="W699" s="15"/>
      <c r="X699" s="15"/>
      <c r="Y699" s="15"/>
      <c r="Z699" s="15"/>
      <c r="AA699" s="15"/>
      <c r="AB699" s="15"/>
      <c r="AC699" s="15"/>
      <c r="AD699" s="15"/>
    </row>
    <row r="700" spans="1:30" s="45" customFormat="1" outlineLevel="1">
      <c r="A700" s="282" t="s">
        <v>591</v>
      </c>
      <c r="B700" s="13"/>
      <c r="C700" s="53"/>
      <c r="D700" s="44"/>
      <c r="E700" s="44"/>
      <c r="F700" s="44"/>
      <c r="G700" s="44"/>
      <c r="H700" s="44"/>
      <c r="I700" s="44"/>
      <c r="J700" s="44"/>
      <c r="K700" s="44"/>
      <c r="L700" s="44"/>
      <c r="M700" s="44"/>
      <c r="N700" s="44"/>
      <c r="O700" s="44"/>
      <c r="P700" s="44"/>
      <c r="Q700" s="44"/>
      <c r="R700" s="44"/>
      <c r="S700" s="44"/>
      <c r="T700" s="44"/>
      <c r="U700" s="44"/>
      <c r="V700" s="44"/>
      <c r="W700" s="44"/>
      <c r="X700" s="44"/>
      <c r="Y700" s="44"/>
      <c r="Z700" s="44"/>
      <c r="AA700" s="44"/>
      <c r="AB700" s="44"/>
      <c r="AC700" s="44"/>
      <c r="AD700" s="44"/>
    </row>
    <row r="701" spans="1:30" s="45" customFormat="1" outlineLevel="1">
      <c r="A701" s="282" t="s">
        <v>592</v>
      </c>
      <c r="B701" s="13"/>
      <c r="C701" s="53"/>
      <c r="D701" s="44"/>
      <c r="E701" s="44"/>
      <c r="F701" s="44"/>
      <c r="G701" s="44"/>
      <c r="H701" s="44"/>
      <c r="I701" s="44"/>
      <c r="J701" s="44"/>
      <c r="K701" s="44"/>
      <c r="L701" s="44"/>
      <c r="M701" s="44"/>
      <c r="N701" s="44"/>
      <c r="O701" s="44"/>
      <c r="P701" s="44"/>
      <c r="Q701" s="44"/>
      <c r="R701" s="44"/>
      <c r="S701" s="44"/>
      <c r="T701" s="44"/>
      <c r="U701" s="44"/>
      <c r="V701" s="44"/>
      <c r="W701" s="44"/>
      <c r="X701" s="44"/>
      <c r="Y701" s="44"/>
      <c r="Z701" s="44"/>
      <c r="AA701" s="44"/>
      <c r="AB701" s="44"/>
      <c r="AC701" s="44"/>
      <c r="AD701" s="44"/>
    </row>
    <row r="702" spans="1:30" s="45" customFormat="1" outlineLevel="1">
      <c r="A702" s="282" t="s">
        <v>593</v>
      </c>
      <c r="B702" s="13"/>
      <c r="C702" s="53"/>
      <c r="D702" s="44"/>
      <c r="E702" s="44"/>
      <c r="F702" s="44"/>
      <c r="G702" s="44"/>
      <c r="H702" s="44"/>
      <c r="I702" s="44"/>
      <c r="J702" s="44"/>
      <c r="K702" s="44"/>
      <c r="L702" s="44"/>
      <c r="M702" s="44"/>
      <c r="N702" s="44"/>
      <c r="O702" s="44"/>
      <c r="P702" s="44"/>
      <c r="Q702" s="44"/>
      <c r="R702" s="44"/>
      <c r="S702" s="44"/>
      <c r="T702" s="44"/>
      <c r="U702" s="44"/>
      <c r="V702" s="44"/>
      <c r="W702" s="44"/>
      <c r="X702" s="44"/>
      <c r="Y702" s="44"/>
      <c r="Z702" s="44"/>
      <c r="AA702" s="44"/>
      <c r="AB702" s="44"/>
      <c r="AC702" s="44"/>
      <c r="AD702" s="44"/>
    </row>
    <row r="703" spans="1:30" s="45" customFormat="1" outlineLevel="1">
      <c r="A703" s="282" t="s">
        <v>594</v>
      </c>
      <c r="B703" s="13"/>
      <c r="C703" s="53"/>
      <c r="D703" s="44"/>
      <c r="E703" s="44"/>
      <c r="F703" s="44"/>
      <c r="G703" s="44"/>
      <c r="H703" s="44"/>
      <c r="I703" s="44"/>
      <c r="J703" s="44"/>
      <c r="K703" s="44"/>
      <c r="L703" s="44"/>
      <c r="M703" s="44"/>
      <c r="N703" s="44"/>
      <c r="O703" s="44"/>
      <c r="P703" s="44"/>
      <c r="Q703" s="44"/>
      <c r="R703" s="44"/>
      <c r="S703" s="44"/>
      <c r="T703" s="44"/>
      <c r="U703" s="44"/>
      <c r="V703" s="44"/>
      <c r="W703" s="44"/>
      <c r="X703" s="44"/>
      <c r="Y703" s="44"/>
      <c r="Z703" s="44"/>
      <c r="AA703" s="44"/>
      <c r="AB703" s="44"/>
      <c r="AC703" s="44"/>
      <c r="AD703" s="44"/>
    </row>
    <row r="704" spans="1:30" s="45" customFormat="1" outlineLevel="1">
      <c r="A704" s="282" t="s">
        <v>595</v>
      </c>
      <c r="B704" s="13"/>
      <c r="C704" s="53"/>
      <c r="D704" s="44"/>
      <c r="E704" s="44"/>
      <c r="F704" s="44"/>
      <c r="G704" s="44"/>
      <c r="H704" s="44"/>
      <c r="I704" s="44"/>
      <c r="J704" s="44"/>
      <c r="K704" s="44"/>
      <c r="L704" s="44"/>
      <c r="M704" s="44"/>
      <c r="N704" s="44"/>
      <c r="O704" s="44"/>
      <c r="P704" s="44"/>
      <c r="Q704" s="44"/>
      <c r="R704" s="44"/>
      <c r="S704" s="44"/>
      <c r="T704" s="44"/>
      <c r="U704" s="44"/>
      <c r="V704" s="44"/>
      <c r="W704" s="44"/>
      <c r="X704" s="44"/>
      <c r="Y704" s="44"/>
      <c r="Z704" s="44"/>
      <c r="AA704" s="44"/>
      <c r="AB704" s="44"/>
      <c r="AC704" s="44"/>
      <c r="AD704" s="44"/>
    </row>
    <row r="705" spans="1:30" s="167" customFormat="1" outlineLevel="1">
      <c r="A705" s="167" t="s">
        <v>475</v>
      </c>
      <c r="B705" s="49"/>
      <c r="C705" s="168"/>
      <c r="D705" s="168"/>
      <c r="E705" s="168"/>
      <c r="F705" s="168"/>
      <c r="G705" s="168"/>
      <c r="H705" s="168"/>
      <c r="I705" s="168"/>
      <c r="J705" s="168"/>
      <c r="K705" s="168"/>
      <c r="L705" s="168"/>
      <c r="M705" s="168"/>
      <c r="N705" s="168"/>
      <c r="O705" s="168"/>
      <c r="P705" s="168"/>
      <c r="Q705" s="168"/>
      <c r="R705" s="168"/>
      <c r="S705" s="168"/>
      <c r="T705" s="168"/>
      <c r="U705" s="168"/>
      <c r="V705" s="168"/>
      <c r="W705" s="168"/>
      <c r="X705" s="168"/>
      <c r="Y705" s="168"/>
      <c r="Z705" s="168"/>
      <c r="AA705" s="168"/>
      <c r="AB705" s="168"/>
      <c r="AC705" s="168"/>
      <c r="AD705" s="168"/>
    </row>
    <row r="706" spans="1:30" outlineLevel="1">
      <c r="A706" s="13" t="str">
        <f>A321</f>
        <v>Revenue in A$ - Mid Case</v>
      </c>
      <c r="B706" s="13" t="str">
        <f>B321</f>
        <v>A$ million Real</v>
      </c>
      <c r="C706" s="118">
        <f>SUM(D706:AD706)</f>
        <v>15665.660816433407</v>
      </c>
      <c r="D706" s="118">
        <f t="shared" ref="D706:AD706" si="426">D321</f>
        <v>0</v>
      </c>
      <c r="E706" s="118">
        <f t="shared" si="426"/>
        <v>0</v>
      </c>
      <c r="F706" s="118">
        <f t="shared" si="426"/>
        <v>649.32039576851525</v>
      </c>
      <c r="G706" s="118">
        <f t="shared" si="426"/>
        <v>1171.6395278949788</v>
      </c>
      <c r="H706" s="118">
        <f t="shared" si="426"/>
        <v>1257.1211008709736</v>
      </c>
      <c r="I706" s="118">
        <f t="shared" si="426"/>
        <v>1257.1211008709736</v>
      </c>
      <c r="J706" s="118">
        <f t="shared" si="426"/>
        <v>1301.3929460370086</v>
      </c>
      <c r="K706" s="118">
        <f t="shared" si="426"/>
        <v>1129.1019608193274</v>
      </c>
      <c r="L706" s="118">
        <f t="shared" si="426"/>
        <v>1032.3482991668434</v>
      </c>
      <c r="M706" s="118">
        <f t="shared" si="426"/>
        <v>1016.8189448350911</v>
      </c>
      <c r="N706" s="118">
        <f t="shared" si="426"/>
        <v>1016.8189448350911</v>
      </c>
      <c r="O706" s="118">
        <f t="shared" si="426"/>
        <v>1016.8189448350911</v>
      </c>
      <c r="P706" s="118">
        <f t="shared" si="426"/>
        <v>1057.088022852166</v>
      </c>
      <c r="Q706" s="118">
        <f t="shared" si="426"/>
        <v>881.20573357394085</v>
      </c>
      <c r="R706" s="118">
        <f t="shared" si="426"/>
        <v>875.44429527378475</v>
      </c>
      <c r="S706" s="118">
        <f t="shared" si="426"/>
        <v>875.44429527378475</v>
      </c>
      <c r="T706" s="118">
        <f t="shared" si="426"/>
        <v>1127.9763035258381</v>
      </c>
      <c r="U706" s="118">
        <f t="shared" si="426"/>
        <v>0</v>
      </c>
      <c r="V706" s="118">
        <f t="shared" si="426"/>
        <v>0</v>
      </c>
      <c r="W706" s="118">
        <f t="shared" si="426"/>
        <v>0</v>
      </c>
      <c r="X706" s="118">
        <f t="shared" si="426"/>
        <v>0</v>
      </c>
      <c r="Y706" s="118">
        <f t="shared" si="426"/>
        <v>0</v>
      </c>
      <c r="Z706" s="118">
        <f t="shared" si="426"/>
        <v>0</v>
      </c>
      <c r="AA706" s="118">
        <f t="shared" si="426"/>
        <v>0</v>
      </c>
      <c r="AB706" s="118">
        <f t="shared" si="426"/>
        <v>0</v>
      </c>
      <c r="AC706" s="118">
        <f t="shared" si="426"/>
        <v>0</v>
      </c>
      <c r="AD706" s="118">
        <f t="shared" si="426"/>
        <v>0</v>
      </c>
    </row>
    <row r="707" spans="1:30" s="71" customFormat="1" ht="19.5" customHeight="1" outlineLevel="1">
      <c r="A707" s="62" t="s">
        <v>16</v>
      </c>
      <c r="C707" s="119"/>
      <c r="D707" s="119"/>
      <c r="E707" s="119"/>
      <c r="F707" s="119"/>
      <c r="G707" s="119"/>
      <c r="H707" s="119"/>
      <c r="I707" s="119"/>
      <c r="J707" s="119"/>
      <c r="K707" s="119"/>
      <c r="L707" s="119"/>
      <c r="M707" s="119"/>
      <c r="N707" s="119"/>
      <c r="O707" s="119"/>
      <c r="P707" s="119"/>
      <c r="Q707" s="119"/>
      <c r="R707" s="119"/>
      <c r="S707" s="119"/>
      <c r="T707" s="119"/>
      <c r="U707" s="119"/>
      <c r="V707" s="119"/>
      <c r="W707" s="119"/>
      <c r="X707" s="119"/>
      <c r="Y707" s="119"/>
      <c r="Z707" s="119"/>
      <c r="AA707" s="119"/>
      <c r="AB707" s="119"/>
      <c r="AC707" s="119"/>
      <c r="AD707" s="119"/>
    </row>
    <row r="708" spans="1:30" outlineLevel="1">
      <c r="A708" s="13" t="str">
        <f>A645</f>
        <v>Operating Costs in A$ - Mid Case</v>
      </c>
      <c r="B708" s="13" t="str">
        <f>B645</f>
        <v>A$ millions Real</v>
      </c>
      <c r="C708" s="118">
        <f>SUM(D708:AD708)</f>
        <v>9678.1371427283211</v>
      </c>
      <c r="D708" s="118">
        <f t="shared" ref="D708:AD708" si="427">D645</f>
        <v>3.8</v>
      </c>
      <c r="E708" s="118">
        <f t="shared" si="427"/>
        <v>211.9</v>
      </c>
      <c r="F708" s="118">
        <f t="shared" si="427"/>
        <v>434.41931612903227</v>
      </c>
      <c r="G708" s="118">
        <f t="shared" si="427"/>
        <v>497.07004276971668</v>
      </c>
      <c r="H708" s="118">
        <f t="shared" si="427"/>
        <v>636.39471389872915</v>
      </c>
      <c r="I708" s="118">
        <f t="shared" si="427"/>
        <v>639.89090428307316</v>
      </c>
      <c r="J708" s="118">
        <f t="shared" si="427"/>
        <v>739.03252077770253</v>
      </c>
      <c r="K708" s="118">
        <f t="shared" si="427"/>
        <v>703.74215482102659</v>
      </c>
      <c r="L708" s="118">
        <f t="shared" si="427"/>
        <v>709.66122658818495</v>
      </c>
      <c r="M708" s="118">
        <f t="shared" si="427"/>
        <v>714.6530176250028</v>
      </c>
      <c r="N708" s="118">
        <f t="shared" si="427"/>
        <v>719.64568462758064</v>
      </c>
      <c r="O708" s="118">
        <f t="shared" si="427"/>
        <v>724.63927830018417</v>
      </c>
      <c r="P708" s="118">
        <f t="shared" si="427"/>
        <v>704.44979740516658</v>
      </c>
      <c r="Q708" s="118">
        <f t="shared" si="427"/>
        <v>554.71978364384245</v>
      </c>
      <c r="R708" s="118">
        <f t="shared" si="427"/>
        <v>558.38049306457287</v>
      </c>
      <c r="S708" s="118">
        <f t="shared" si="427"/>
        <v>496.07257097012911</v>
      </c>
      <c r="T708" s="118">
        <f t="shared" si="427"/>
        <v>629.66563782437765</v>
      </c>
      <c r="U708" s="118">
        <f t="shared" si="427"/>
        <v>0</v>
      </c>
      <c r="V708" s="118">
        <f t="shared" si="427"/>
        <v>0</v>
      </c>
      <c r="W708" s="118">
        <f t="shared" si="427"/>
        <v>0</v>
      </c>
      <c r="X708" s="118">
        <f t="shared" si="427"/>
        <v>0</v>
      </c>
      <c r="Y708" s="118">
        <f t="shared" si="427"/>
        <v>0</v>
      </c>
      <c r="Z708" s="118">
        <f t="shared" si="427"/>
        <v>0</v>
      </c>
      <c r="AA708" s="118">
        <f t="shared" si="427"/>
        <v>0</v>
      </c>
      <c r="AB708" s="118">
        <f t="shared" si="427"/>
        <v>0</v>
      </c>
      <c r="AC708" s="118">
        <f t="shared" si="427"/>
        <v>0</v>
      </c>
      <c r="AD708" s="118">
        <f t="shared" si="427"/>
        <v>0</v>
      </c>
    </row>
    <row r="709" spans="1:30" outlineLevel="1">
      <c r="A709" s="13" t="str">
        <f>A696</f>
        <v>Royalties State</v>
      </c>
      <c r="B709" s="13" t="str">
        <f>B696</f>
        <v>A$ millions Real</v>
      </c>
      <c r="C709" s="118">
        <f>SUM(D709:AD709)</f>
        <v>1241.8608491178491</v>
      </c>
      <c r="D709" s="118">
        <f t="shared" ref="D709:AD709" si="428">D696</f>
        <v>0</v>
      </c>
      <c r="E709" s="118">
        <f t="shared" si="428"/>
        <v>0</v>
      </c>
      <c r="F709" s="118">
        <f t="shared" si="428"/>
        <v>49.502374714391351</v>
      </c>
      <c r="G709" s="118">
        <f t="shared" si="428"/>
        <v>88.985374926986495</v>
      </c>
      <c r="H709" s="118">
        <f t="shared" si="428"/>
        <v>95.303849938844479</v>
      </c>
      <c r="I709" s="118">
        <f t="shared" si="428"/>
        <v>95.295665804221528</v>
      </c>
      <c r="J709" s="118">
        <f t="shared" si="428"/>
        <v>98.661396157530433</v>
      </c>
      <c r="K709" s="118">
        <f t="shared" si="428"/>
        <v>87.355518470603798</v>
      </c>
      <c r="L709" s="118">
        <f t="shared" si="428"/>
        <v>82.339981679780109</v>
      </c>
      <c r="M709" s="118">
        <f t="shared" si="428"/>
        <v>81.647862003094133</v>
      </c>
      <c r="N709" s="118">
        <f t="shared" si="428"/>
        <v>81.63970839575714</v>
      </c>
      <c r="O709" s="118">
        <f t="shared" si="428"/>
        <v>81.63147325234678</v>
      </c>
      <c r="P709" s="118">
        <f t="shared" si="428"/>
        <v>83.733435806801964</v>
      </c>
      <c r="Q709" s="118">
        <f t="shared" si="428"/>
        <v>74.01542399113373</v>
      </c>
      <c r="R709" s="118">
        <f t="shared" si="428"/>
        <v>73.523296509984149</v>
      </c>
      <c r="S709" s="118">
        <f t="shared" si="428"/>
        <v>73.51500949848409</v>
      </c>
      <c r="T709" s="118">
        <f t="shared" si="428"/>
        <v>94.710477967888963</v>
      </c>
      <c r="U709" s="118">
        <f t="shared" si="428"/>
        <v>0</v>
      </c>
      <c r="V709" s="118">
        <f t="shared" si="428"/>
        <v>0</v>
      </c>
      <c r="W709" s="118">
        <f t="shared" si="428"/>
        <v>0</v>
      </c>
      <c r="X709" s="118">
        <f t="shared" si="428"/>
        <v>0</v>
      </c>
      <c r="Y709" s="118">
        <f t="shared" si="428"/>
        <v>0</v>
      </c>
      <c r="Z709" s="118">
        <f t="shared" si="428"/>
        <v>0</v>
      </c>
      <c r="AA709" s="118">
        <f t="shared" si="428"/>
        <v>0</v>
      </c>
      <c r="AB709" s="118">
        <f t="shared" si="428"/>
        <v>0</v>
      </c>
      <c r="AC709" s="118">
        <f t="shared" si="428"/>
        <v>0</v>
      </c>
      <c r="AD709" s="118">
        <f t="shared" si="428"/>
        <v>0</v>
      </c>
    </row>
    <row r="710" spans="1:30" s="63" customFormat="1" outlineLevel="1">
      <c r="A710" s="63" t="str">
        <f>A416</f>
        <v>deductions for capex incl prestrip - available  (Real terms)</v>
      </c>
      <c r="B710" s="13" t="s">
        <v>407</v>
      </c>
      <c r="C710" s="120">
        <f>SUM(D710:AD710)</f>
        <v>1907.7662472321526</v>
      </c>
      <c r="D710" s="120">
        <f t="shared" ref="D710:AD710" si="429">D416</f>
        <v>10</v>
      </c>
      <c r="E710" s="120">
        <f t="shared" si="429"/>
        <v>30</v>
      </c>
      <c r="F710" s="120">
        <f t="shared" si="429"/>
        <v>362.3692794665323</v>
      </c>
      <c r="G710" s="120">
        <f t="shared" si="429"/>
        <v>249.84867464773083</v>
      </c>
      <c r="H710" s="120">
        <f t="shared" si="429"/>
        <v>178.13097064721703</v>
      </c>
      <c r="I710" s="120">
        <f t="shared" si="429"/>
        <v>136.73401621751867</v>
      </c>
      <c r="J710" s="120">
        <f t="shared" si="429"/>
        <v>106.33196558580289</v>
      </c>
      <c r="K710" s="120">
        <f t="shared" si="429"/>
        <v>86.520343021360887</v>
      </c>
      <c r="L710" s="120">
        <f t="shared" si="429"/>
        <v>73.497974555922028</v>
      </c>
      <c r="M710" s="120">
        <f t="shared" si="429"/>
        <v>68.451519733822451</v>
      </c>
      <c r="N710" s="120">
        <f t="shared" si="429"/>
        <v>61.938100327432267</v>
      </c>
      <c r="O710" s="120">
        <f t="shared" si="429"/>
        <v>57.419333805557578</v>
      </c>
      <c r="P710" s="120">
        <f t="shared" si="429"/>
        <v>54.236803432718077</v>
      </c>
      <c r="Q710" s="120">
        <f t="shared" si="429"/>
        <v>54.660779249180266</v>
      </c>
      <c r="R710" s="120">
        <f t="shared" si="429"/>
        <v>52.478865298336025</v>
      </c>
      <c r="S710" s="120">
        <f t="shared" si="429"/>
        <v>50.835988746935989</v>
      </c>
      <c r="T710" s="120">
        <f t="shared" si="429"/>
        <v>274.31163249608539</v>
      </c>
      <c r="U710" s="120">
        <f t="shared" si="429"/>
        <v>0</v>
      </c>
      <c r="V710" s="120">
        <f t="shared" si="429"/>
        <v>0</v>
      </c>
      <c r="W710" s="120">
        <f t="shared" si="429"/>
        <v>0</v>
      </c>
      <c r="X710" s="120">
        <f t="shared" si="429"/>
        <v>0</v>
      </c>
      <c r="Y710" s="120">
        <f t="shared" si="429"/>
        <v>0</v>
      </c>
      <c r="Z710" s="120">
        <f t="shared" si="429"/>
        <v>0</v>
      </c>
      <c r="AA710" s="120">
        <f t="shared" si="429"/>
        <v>0</v>
      </c>
      <c r="AB710" s="120">
        <f t="shared" si="429"/>
        <v>0</v>
      </c>
      <c r="AC710" s="120">
        <f t="shared" si="429"/>
        <v>0</v>
      </c>
      <c r="AD710" s="120">
        <f t="shared" si="429"/>
        <v>0</v>
      </c>
    </row>
    <row r="711" spans="1:30" s="63" customFormat="1" outlineLevel="1">
      <c r="A711" s="63" t="s">
        <v>169</v>
      </c>
      <c r="B711" s="13" t="str">
        <f>B706</f>
        <v>A$ million Real</v>
      </c>
      <c r="C711" s="120">
        <f>SUM(D711:AD711)</f>
        <v>2837.896577355084</v>
      </c>
      <c r="D711" s="121">
        <f>D706-SUM(D708:D710)</f>
        <v>-13.8</v>
      </c>
      <c r="E711" s="121">
        <f t="shared" ref="E711:AD711" si="430">E706-SUM(E708:E710)</f>
        <v>-241.9</v>
      </c>
      <c r="F711" s="121">
        <f t="shared" si="430"/>
        <v>-196.97057454144067</v>
      </c>
      <c r="G711" s="121">
        <f t="shared" si="430"/>
        <v>335.73543555054471</v>
      </c>
      <c r="H711" s="121">
        <f t="shared" si="430"/>
        <v>347.29156638618292</v>
      </c>
      <c r="I711" s="121">
        <f t="shared" si="430"/>
        <v>385.20051456616011</v>
      </c>
      <c r="J711" s="121">
        <f t="shared" si="430"/>
        <v>357.36706351597275</v>
      </c>
      <c r="K711" s="121">
        <f t="shared" si="430"/>
        <v>251.48394450633612</v>
      </c>
      <c r="L711" s="121">
        <f t="shared" si="430"/>
        <v>166.84911634295634</v>
      </c>
      <c r="M711" s="121">
        <f t="shared" si="430"/>
        <v>152.06654547317169</v>
      </c>
      <c r="N711" s="121">
        <f t="shared" si="430"/>
        <v>153.59545148432107</v>
      </c>
      <c r="O711" s="121">
        <f t="shared" si="430"/>
        <v>153.12885947700249</v>
      </c>
      <c r="P711" s="121">
        <f t="shared" si="430"/>
        <v>214.66798620747943</v>
      </c>
      <c r="Q711" s="121">
        <f t="shared" si="430"/>
        <v>197.80974668978445</v>
      </c>
      <c r="R711" s="121">
        <f t="shared" si="430"/>
        <v>191.06164040089175</v>
      </c>
      <c r="S711" s="121">
        <f t="shared" si="430"/>
        <v>255.0207260582356</v>
      </c>
      <c r="T711" s="121">
        <f t="shared" si="430"/>
        <v>129.28855523748609</v>
      </c>
      <c r="U711" s="121">
        <f t="shared" si="430"/>
        <v>0</v>
      </c>
      <c r="V711" s="121">
        <f t="shared" si="430"/>
        <v>0</v>
      </c>
      <c r="W711" s="121">
        <f t="shared" si="430"/>
        <v>0</v>
      </c>
      <c r="X711" s="121">
        <f t="shared" si="430"/>
        <v>0</v>
      </c>
      <c r="Y711" s="121">
        <f t="shared" si="430"/>
        <v>0</v>
      </c>
      <c r="Z711" s="121">
        <f t="shared" si="430"/>
        <v>0</v>
      </c>
      <c r="AA711" s="121">
        <f t="shared" si="430"/>
        <v>0</v>
      </c>
      <c r="AB711" s="121">
        <f t="shared" si="430"/>
        <v>0</v>
      </c>
      <c r="AC711" s="121">
        <f t="shared" si="430"/>
        <v>0</v>
      </c>
      <c r="AD711" s="121">
        <f t="shared" si="430"/>
        <v>0</v>
      </c>
    </row>
    <row r="712" spans="1:30" s="63" customFormat="1" outlineLevel="1">
      <c r="B712" s="13"/>
      <c r="C712" s="120"/>
      <c r="D712" s="120"/>
      <c r="E712" s="120"/>
      <c r="F712" s="120"/>
      <c r="G712" s="120"/>
      <c r="H712" s="120"/>
      <c r="I712" s="120"/>
      <c r="J712" s="120"/>
      <c r="K712" s="120"/>
      <c r="L712" s="120"/>
      <c r="M712" s="120"/>
      <c r="N712" s="120"/>
      <c r="O712" s="120"/>
      <c r="P712" s="120"/>
      <c r="Q712" s="120"/>
      <c r="R712" s="120"/>
      <c r="S712" s="120"/>
      <c r="T712" s="120"/>
      <c r="U712" s="120"/>
      <c r="V712" s="120"/>
      <c r="W712" s="120"/>
      <c r="X712" s="120"/>
      <c r="Y712" s="120"/>
      <c r="Z712" s="120"/>
      <c r="AA712" s="120"/>
      <c r="AB712" s="120"/>
      <c r="AC712" s="120"/>
      <c r="AD712" s="120"/>
    </row>
    <row r="713" spans="1:30" s="167" customFormat="1" outlineLevel="1">
      <c r="A713" s="167" t="s">
        <v>459</v>
      </c>
      <c r="B713" s="49"/>
      <c r="C713" s="168"/>
      <c r="D713" s="168"/>
      <c r="E713" s="168"/>
      <c r="F713" s="168"/>
      <c r="G713" s="168"/>
      <c r="H713" s="168"/>
      <c r="I713" s="168"/>
      <c r="J713" s="168"/>
      <c r="K713" s="168"/>
      <c r="L713" s="168"/>
      <c r="M713" s="168"/>
      <c r="N713" s="168"/>
      <c r="O713" s="168"/>
      <c r="P713" s="168"/>
      <c r="Q713" s="168"/>
      <c r="R713" s="168"/>
      <c r="S713" s="168"/>
      <c r="T713" s="168"/>
      <c r="U713" s="168"/>
      <c r="V713" s="168"/>
      <c r="W713" s="168"/>
      <c r="X713" s="168"/>
      <c r="Y713" s="168"/>
      <c r="Z713" s="168"/>
      <c r="AA713" s="168"/>
      <c r="AB713" s="168"/>
      <c r="AC713" s="168"/>
      <c r="AD713" s="168"/>
    </row>
    <row r="714" spans="1:30" s="63" customFormat="1" outlineLevel="1">
      <c r="A714" s="282" t="s">
        <v>596</v>
      </c>
      <c r="B714" s="13"/>
      <c r="C714" s="120"/>
      <c r="D714" s="120"/>
      <c r="E714" s="120"/>
      <c r="F714" s="120"/>
      <c r="G714" s="120"/>
      <c r="H714" s="120"/>
      <c r="I714" s="120"/>
      <c r="J714" s="120"/>
      <c r="K714" s="120"/>
      <c r="L714" s="120"/>
      <c r="M714" s="120"/>
      <c r="N714" s="120"/>
      <c r="O714" s="120"/>
      <c r="P714" s="120"/>
      <c r="Q714" s="120"/>
      <c r="R714" s="120"/>
      <c r="S714" s="120"/>
      <c r="T714" s="120"/>
      <c r="U714" s="120"/>
      <c r="V714" s="120"/>
      <c r="W714" s="120"/>
      <c r="X714" s="120"/>
      <c r="Y714" s="120"/>
      <c r="Z714" s="120"/>
      <c r="AA714" s="120"/>
      <c r="AB714" s="120"/>
      <c r="AC714" s="120"/>
      <c r="AD714" s="120"/>
    </row>
    <row r="715" spans="1:30" s="63" customFormat="1" outlineLevel="1">
      <c r="A715" s="282" t="s">
        <v>597</v>
      </c>
      <c r="B715" s="13"/>
      <c r="C715" s="120"/>
      <c r="D715" s="120"/>
      <c r="E715" s="120"/>
      <c r="F715" s="120"/>
      <c r="G715" s="120"/>
      <c r="H715" s="120"/>
      <c r="I715" s="120"/>
      <c r="J715" s="120"/>
      <c r="K715" s="120"/>
      <c r="L715" s="120"/>
      <c r="M715" s="120"/>
      <c r="N715" s="120"/>
      <c r="O715" s="120"/>
      <c r="P715" s="120"/>
      <c r="Q715" s="120"/>
      <c r="R715" s="120"/>
      <c r="S715" s="120"/>
      <c r="T715" s="120"/>
      <c r="U715" s="120"/>
      <c r="V715" s="120"/>
      <c r="W715" s="120"/>
      <c r="X715" s="120"/>
      <c r="Y715" s="120"/>
      <c r="Z715" s="120"/>
      <c r="AA715" s="120"/>
      <c r="AB715" s="120"/>
      <c r="AC715" s="120"/>
      <c r="AD715" s="120"/>
    </row>
    <row r="716" spans="1:30" s="63" customFormat="1" outlineLevel="1">
      <c r="A716" s="282" t="s">
        <v>598</v>
      </c>
      <c r="B716" s="13"/>
      <c r="C716" s="120"/>
      <c r="D716" s="120"/>
      <c r="E716" s="120"/>
      <c r="F716" s="120"/>
      <c r="G716" s="120"/>
      <c r="H716" s="120"/>
      <c r="I716" s="120"/>
      <c r="J716" s="120"/>
      <c r="K716" s="120"/>
      <c r="L716" s="120"/>
      <c r="M716" s="120"/>
      <c r="N716" s="120"/>
      <c r="O716" s="120"/>
      <c r="P716" s="120"/>
      <c r="Q716" s="120"/>
      <c r="R716" s="120"/>
      <c r="S716" s="120"/>
      <c r="T716" s="120"/>
      <c r="U716" s="120"/>
      <c r="V716" s="120"/>
      <c r="W716" s="120"/>
      <c r="X716" s="120"/>
      <c r="Y716" s="120"/>
      <c r="Z716" s="120"/>
      <c r="AA716" s="120"/>
      <c r="AB716" s="120"/>
      <c r="AC716" s="120"/>
      <c r="AD716" s="120"/>
    </row>
    <row r="717" spans="1:30" s="63" customFormat="1" ht="13.5" outlineLevel="1" thickBot="1">
      <c r="A717" s="282" t="s">
        <v>599</v>
      </c>
      <c r="B717" s="13"/>
      <c r="C717" s="120"/>
      <c r="D717" s="120"/>
      <c r="E717" s="120"/>
      <c r="F717" s="120"/>
      <c r="G717" s="120"/>
      <c r="H717" s="120"/>
      <c r="I717" s="120"/>
      <c r="J717" s="120"/>
      <c r="K717" s="120"/>
      <c r="L717" s="120"/>
      <c r="M717" s="120"/>
      <c r="N717" s="120"/>
      <c r="O717" s="120"/>
      <c r="P717" s="120"/>
      <c r="Q717" s="120"/>
      <c r="R717" s="120"/>
      <c r="S717" s="120"/>
      <c r="T717" s="120"/>
      <c r="U717" s="120"/>
      <c r="V717" s="120"/>
      <c r="W717" s="120"/>
      <c r="X717" s="120"/>
      <c r="Y717" s="120"/>
      <c r="Z717" s="120"/>
      <c r="AA717" s="120"/>
      <c r="AB717" s="120"/>
      <c r="AC717" s="120"/>
      <c r="AD717" s="120"/>
    </row>
    <row r="718" spans="1:30" s="63" customFormat="1" ht="13.5" outlineLevel="1" thickBot="1">
      <c r="A718" s="63" t="s">
        <v>473</v>
      </c>
      <c r="B718" s="13"/>
      <c r="C718" s="120"/>
      <c r="D718" s="306">
        <v>-23</v>
      </c>
      <c r="E718" s="120">
        <f t="shared" ref="E718:AD718" si="431">D720</f>
        <v>-36.799999999999997</v>
      </c>
      <c r="F718" s="120">
        <f t="shared" si="431"/>
        <v>-278.7</v>
      </c>
      <c r="G718" s="120">
        <f t="shared" si="431"/>
        <v>-475.67057454144066</v>
      </c>
      <c r="H718" s="120">
        <f t="shared" si="431"/>
        <v>-139.93513899089595</v>
      </c>
      <c r="I718" s="120">
        <f t="shared" si="431"/>
        <v>0</v>
      </c>
      <c r="J718" s="120">
        <f t="shared" si="431"/>
        <v>0</v>
      </c>
      <c r="K718" s="120">
        <f t="shared" si="431"/>
        <v>0</v>
      </c>
      <c r="L718" s="120">
        <f t="shared" si="431"/>
        <v>0</v>
      </c>
      <c r="M718" s="120">
        <f t="shared" si="431"/>
        <v>0</v>
      </c>
      <c r="N718" s="120">
        <f t="shared" si="431"/>
        <v>0</v>
      </c>
      <c r="O718" s="120">
        <f t="shared" si="431"/>
        <v>0</v>
      </c>
      <c r="P718" s="120">
        <f t="shared" si="431"/>
        <v>0</v>
      </c>
      <c r="Q718" s="120">
        <f t="shared" si="431"/>
        <v>0</v>
      </c>
      <c r="R718" s="120">
        <f t="shared" si="431"/>
        <v>0</v>
      </c>
      <c r="S718" s="120">
        <f t="shared" si="431"/>
        <v>0</v>
      </c>
      <c r="T718" s="120">
        <f t="shared" si="431"/>
        <v>0</v>
      </c>
      <c r="U718" s="120">
        <f t="shared" si="431"/>
        <v>0</v>
      </c>
      <c r="V718" s="120">
        <f t="shared" si="431"/>
        <v>0</v>
      </c>
      <c r="W718" s="120">
        <f t="shared" si="431"/>
        <v>0</v>
      </c>
      <c r="X718" s="120">
        <f t="shared" si="431"/>
        <v>0</v>
      </c>
      <c r="Y718" s="120">
        <f t="shared" si="431"/>
        <v>0</v>
      </c>
      <c r="Z718" s="120">
        <f t="shared" si="431"/>
        <v>0</v>
      </c>
      <c r="AA718" s="120">
        <f t="shared" si="431"/>
        <v>0</v>
      </c>
      <c r="AB718" s="120">
        <f t="shared" si="431"/>
        <v>0</v>
      </c>
      <c r="AC718" s="120">
        <f t="shared" si="431"/>
        <v>0</v>
      </c>
      <c r="AD718" s="120">
        <f t="shared" si="431"/>
        <v>0</v>
      </c>
    </row>
    <row r="719" spans="1:30" s="63" customFormat="1" outlineLevel="1">
      <c r="A719" s="63" t="s">
        <v>471</v>
      </c>
      <c r="B719" s="13"/>
      <c r="C719" s="120"/>
      <c r="D719" s="120">
        <f>D711+D718</f>
        <v>-36.799999999999997</v>
      </c>
      <c r="E719" s="120">
        <f t="shared" ref="E719:AD719" si="432">E711+E718</f>
        <v>-278.7</v>
      </c>
      <c r="F719" s="120">
        <f t="shared" si="432"/>
        <v>-475.67057454144066</v>
      </c>
      <c r="G719" s="120">
        <f t="shared" si="432"/>
        <v>-139.93513899089595</v>
      </c>
      <c r="H719" s="120">
        <f t="shared" si="432"/>
        <v>207.35642739528697</v>
      </c>
      <c r="I719" s="120">
        <f t="shared" si="432"/>
        <v>385.20051456616011</v>
      </c>
      <c r="J719" s="120">
        <f t="shared" si="432"/>
        <v>357.36706351597275</v>
      </c>
      <c r="K719" s="120">
        <f t="shared" si="432"/>
        <v>251.48394450633612</v>
      </c>
      <c r="L719" s="120">
        <f t="shared" si="432"/>
        <v>166.84911634295634</v>
      </c>
      <c r="M719" s="120">
        <f t="shared" si="432"/>
        <v>152.06654547317169</v>
      </c>
      <c r="N719" s="120">
        <f t="shared" si="432"/>
        <v>153.59545148432107</v>
      </c>
      <c r="O719" s="120">
        <f t="shared" si="432"/>
        <v>153.12885947700249</v>
      </c>
      <c r="P719" s="120">
        <f t="shared" si="432"/>
        <v>214.66798620747943</v>
      </c>
      <c r="Q719" s="120">
        <f t="shared" si="432"/>
        <v>197.80974668978445</v>
      </c>
      <c r="R719" s="120">
        <f t="shared" si="432"/>
        <v>191.06164040089175</v>
      </c>
      <c r="S719" s="120">
        <f t="shared" si="432"/>
        <v>255.0207260582356</v>
      </c>
      <c r="T719" s="120">
        <f t="shared" si="432"/>
        <v>129.28855523748609</v>
      </c>
      <c r="U719" s="120">
        <f t="shared" si="432"/>
        <v>0</v>
      </c>
      <c r="V719" s="120">
        <f t="shared" si="432"/>
        <v>0</v>
      </c>
      <c r="W719" s="120">
        <f t="shared" si="432"/>
        <v>0</v>
      </c>
      <c r="X719" s="120">
        <f t="shared" si="432"/>
        <v>0</v>
      </c>
      <c r="Y719" s="120">
        <f t="shared" si="432"/>
        <v>0</v>
      </c>
      <c r="Z719" s="120">
        <f t="shared" si="432"/>
        <v>0</v>
      </c>
      <c r="AA719" s="120">
        <f t="shared" si="432"/>
        <v>0</v>
      </c>
      <c r="AB719" s="120">
        <f t="shared" si="432"/>
        <v>0</v>
      </c>
      <c r="AC719" s="120">
        <f t="shared" si="432"/>
        <v>0</v>
      </c>
      <c r="AD719" s="120">
        <f t="shared" si="432"/>
        <v>0</v>
      </c>
    </row>
    <row r="720" spans="1:30" s="63" customFormat="1" outlineLevel="1">
      <c r="A720" s="63" t="s">
        <v>472</v>
      </c>
      <c r="B720" s="13"/>
      <c r="C720" s="120"/>
      <c r="D720" s="120">
        <f>IF(D719&gt;0,0,D719)</f>
        <v>-36.799999999999997</v>
      </c>
      <c r="E720" s="120">
        <f t="shared" ref="E720:AD720" si="433">IF(E719&gt;0,0,E719)</f>
        <v>-278.7</v>
      </c>
      <c r="F720" s="120">
        <f t="shared" si="433"/>
        <v>-475.67057454144066</v>
      </c>
      <c r="G720" s="120">
        <f t="shared" si="433"/>
        <v>-139.93513899089595</v>
      </c>
      <c r="H720" s="120">
        <f t="shared" si="433"/>
        <v>0</v>
      </c>
      <c r="I720" s="120">
        <f t="shared" si="433"/>
        <v>0</v>
      </c>
      <c r="J720" s="120">
        <f t="shared" si="433"/>
        <v>0</v>
      </c>
      <c r="K720" s="120">
        <f t="shared" si="433"/>
        <v>0</v>
      </c>
      <c r="L720" s="120">
        <f t="shared" si="433"/>
        <v>0</v>
      </c>
      <c r="M720" s="120">
        <f t="shared" si="433"/>
        <v>0</v>
      </c>
      <c r="N720" s="120">
        <f t="shared" si="433"/>
        <v>0</v>
      </c>
      <c r="O720" s="120">
        <f t="shared" si="433"/>
        <v>0</v>
      </c>
      <c r="P720" s="120">
        <f t="shared" si="433"/>
        <v>0</v>
      </c>
      <c r="Q720" s="120">
        <f t="shared" si="433"/>
        <v>0</v>
      </c>
      <c r="R720" s="120">
        <f t="shared" si="433"/>
        <v>0</v>
      </c>
      <c r="S720" s="120">
        <f t="shared" si="433"/>
        <v>0</v>
      </c>
      <c r="T720" s="120">
        <f t="shared" si="433"/>
        <v>0</v>
      </c>
      <c r="U720" s="120">
        <f t="shared" si="433"/>
        <v>0</v>
      </c>
      <c r="V720" s="120">
        <f t="shared" si="433"/>
        <v>0</v>
      </c>
      <c r="W720" s="120">
        <f t="shared" si="433"/>
        <v>0</v>
      </c>
      <c r="X720" s="120">
        <f t="shared" si="433"/>
        <v>0</v>
      </c>
      <c r="Y720" s="120">
        <f t="shared" si="433"/>
        <v>0</v>
      </c>
      <c r="Z720" s="120">
        <f t="shared" si="433"/>
        <v>0</v>
      </c>
      <c r="AA720" s="120">
        <f t="shared" si="433"/>
        <v>0</v>
      </c>
      <c r="AB720" s="120">
        <f t="shared" si="433"/>
        <v>0</v>
      </c>
      <c r="AC720" s="120">
        <f t="shared" si="433"/>
        <v>0</v>
      </c>
      <c r="AD720" s="120">
        <f t="shared" si="433"/>
        <v>0</v>
      </c>
    </row>
    <row r="721" spans="1:30" s="63" customFormat="1" outlineLevel="1">
      <c r="A721" s="63" t="s">
        <v>86</v>
      </c>
      <c r="B721" s="13" t="s">
        <v>284</v>
      </c>
      <c r="C721" s="120">
        <f>SUM(D721:AD721)</f>
        <v>2814.8965773550849</v>
      </c>
      <c r="D721" s="121">
        <f t="shared" ref="D721:AD721" si="434">IF(D719&gt;0,D719,0)</f>
        <v>0</v>
      </c>
      <c r="E721" s="121">
        <f t="shared" si="434"/>
        <v>0</v>
      </c>
      <c r="F721" s="121">
        <f t="shared" si="434"/>
        <v>0</v>
      </c>
      <c r="G721" s="121">
        <f t="shared" si="434"/>
        <v>0</v>
      </c>
      <c r="H721" s="121">
        <f t="shared" si="434"/>
        <v>207.35642739528697</v>
      </c>
      <c r="I721" s="121">
        <f t="shared" si="434"/>
        <v>385.20051456616011</v>
      </c>
      <c r="J721" s="121">
        <f t="shared" si="434"/>
        <v>357.36706351597275</v>
      </c>
      <c r="K721" s="121">
        <f t="shared" si="434"/>
        <v>251.48394450633612</v>
      </c>
      <c r="L721" s="121">
        <f t="shared" si="434"/>
        <v>166.84911634295634</v>
      </c>
      <c r="M721" s="121">
        <f t="shared" si="434"/>
        <v>152.06654547317169</v>
      </c>
      <c r="N721" s="121">
        <f t="shared" si="434"/>
        <v>153.59545148432107</v>
      </c>
      <c r="O721" s="121">
        <f t="shared" si="434"/>
        <v>153.12885947700249</v>
      </c>
      <c r="P721" s="121">
        <f t="shared" si="434"/>
        <v>214.66798620747943</v>
      </c>
      <c r="Q721" s="121">
        <f t="shared" si="434"/>
        <v>197.80974668978445</v>
      </c>
      <c r="R721" s="121">
        <f t="shared" si="434"/>
        <v>191.06164040089175</v>
      </c>
      <c r="S721" s="121">
        <f t="shared" si="434"/>
        <v>255.0207260582356</v>
      </c>
      <c r="T721" s="121">
        <f t="shared" si="434"/>
        <v>129.28855523748609</v>
      </c>
      <c r="U721" s="121">
        <f t="shared" si="434"/>
        <v>0</v>
      </c>
      <c r="V721" s="121">
        <f t="shared" si="434"/>
        <v>0</v>
      </c>
      <c r="W721" s="121">
        <f t="shared" si="434"/>
        <v>0</v>
      </c>
      <c r="X721" s="121">
        <f t="shared" si="434"/>
        <v>0</v>
      </c>
      <c r="Y721" s="121">
        <f t="shared" si="434"/>
        <v>0</v>
      </c>
      <c r="Z721" s="121">
        <f t="shared" si="434"/>
        <v>0</v>
      </c>
      <c r="AA721" s="121">
        <f t="shared" si="434"/>
        <v>0</v>
      </c>
      <c r="AB721" s="121">
        <f t="shared" si="434"/>
        <v>0</v>
      </c>
      <c r="AC721" s="121">
        <f t="shared" si="434"/>
        <v>0</v>
      </c>
      <c r="AD721" s="121">
        <f t="shared" si="434"/>
        <v>0</v>
      </c>
    </row>
    <row r="722" spans="1:30" ht="16.25" customHeight="1" outlineLevel="1">
      <c r="B722" s="96"/>
      <c r="C722" s="102"/>
      <c r="D722" s="15"/>
      <c r="E722" s="15"/>
      <c r="F722" s="15"/>
      <c r="G722" s="15"/>
      <c r="H722" s="15"/>
      <c r="I722" s="15"/>
      <c r="J722" s="15"/>
      <c r="K722" s="15"/>
      <c r="L722" s="15"/>
      <c r="M722" s="15"/>
      <c r="N722" s="15"/>
      <c r="O722" s="15"/>
      <c r="P722" s="15"/>
      <c r="Q722" s="15"/>
      <c r="R722" s="15"/>
      <c r="S722" s="15"/>
      <c r="T722" s="15"/>
      <c r="U722" s="15"/>
      <c r="V722" s="15"/>
      <c r="W722" s="15"/>
      <c r="X722" s="15"/>
      <c r="Y722" s="15"/>
      <c r="Z722" s="15"/>
      <c r="AA722" s="15"/>
      <c r="AB722" s="15"/>
      <c r="AC722" s="15"/>
      <c r="AD722" s="15"/>
    </row>
    <row r="723" spans="1:30" s="167" customFormat="1" outlineLevel="1">
      <c r="A723" s="167" t="s">
        <v>474</v>
      </c>
      <c r="B723" s="49"/>
      <c r="C723" s="168"/>
      <c r="D723" s="168"/>
      <c r="E723" s="168"/>
      <c r="F723" s="168"/>
      <c r="G723" s="168"/>
      <c r="H723" s="168"/>
      <c r="I723" s="168"/>
      <c r="J723" s="168"/>
      <c r="K723" s="168"/>
      <c r="L723" s="168"/>
      <c r="M723" s="168"/>
      <c r="N723" s="168"/>
      <c r="O723" s="168"/>
      <c r="P723" s="168"/>
      <c r="Q723" s="168"/>
      <c r="R723" s="168"/>
      <c r="S723" s="168"/>
      <c r="T723" s="168"/>
      <c r="U723" s="168"/>
      <c r="V723" s="168"/>
      <c r="W723" s="168"/>
      <c r="X723" s="168"/>
      <c r="Y723" s="168"/>
      <c r="Z723" s="168"/>
      <c r="AA723" s="168"/>
      <c r="AB723" s="168"/>
      <c r="AC723" s="168"/>
      <c r="AD723" s="168"/>
    </row>
    <row r="724" spans="1:30" outlineLevel="1">
      <c r="A724" s="247" t="str">
        <f>'Expected NPV &amp; Common Data'!A95</f>
        <v>2 December 2025: National Taxation Office website : Zero taxation on first A$3 million assessable income then 25%</v>
      </c>
      <c r="D724" s="15"/>
      <c r="E724" s="15"/>
      <c r="F724" s="15"/>
      <c r="G724" s="15"/>
      <c r="H724" s="15"/>
      <c r="I724" s="15"/>
      <c r="J724" s="15"/>
      <c r="K724" s="15"/>
      <c r="L724" s="15"/>
      <c r="M724" s="15"/>
      <c r="N724" s="15"/>
      <c r="O724" s="15"/>
      <c r="P724" s="15"/>
      <c r="Q724" s="15"/>
      <c r="R724" s="15"/>
      <c r="S724" s="15"/>
      <c r="T724" s="15"/>
      <c r="U724" s="15"/>
      <c r="V724" s="15"/>
      <c r="W724" s="15"/>
      <c r="X724" s="15"/>
      <c r="Y724" s="15"/>
      <c r="Z724" s="15"/>
      <c r="AA724" s="15"/>
      <c r="AB724" s="15"/>
      <c r="AC724" s="15"/>
      <c r="AD724" s="15"/>
    </row>
    <row r="725" spans="1:30" s="63" customFormat="1" outlineLevel="1">
      <c r="A725" s="282" t="s">
        <v>600</v>
      </c>
      <c r="B725" s="13"/>
      <c r="C725" s="120"/>
      <c r="D725" s="120"/>
      <c r="E725" s="120"/>
      <c r="F725" s="120"/>
      <c r="G725" s="120"/>
      <c r="H725" s="120"/>
      <c r="I725" s="120"/>
      <c r="J725" s="120"/>
      <c r="K725" s="120"/>
      <c r="L725" s="120"/>
      <c r="M725" s="120"/>
      <c r="N725" s="120"/>
      <c r="O725" s="120"/>
      <c r="P725" s="120"/>
      <c r="Q725" s="120"/>
      <c r="R725" s="120"/>
      <c r="S725" s="120"/>
      <c r="T725" s="120"/>
      <c r="U725" s="120"/>
      <c r="V725" s="120"/>
      <c r="W725" s="120"/>
      <c r="X725" s="120"/>
      <c r="Y725" s="120"/>
      <c r="Z725" s="120"/>
      <c r="AA725" s="120"/>
      <c r="AB725" s="120"/>
      <c r="AC725" s="120"/>
      <c r="AD725" s="120"/>
    </row>
    <row r="726" spans="1:30" s="310" customFormat="1" outlineLevel="1">
      <c r="A726" s="247" t="str">
        <f>'Expected NPV &amp; Common Data'!A96</f>
        <v>Assessable income threshold</v>
      </c>
      <c r="B726" s="307" t="str">
        <f>'Expected NPV &amp; Common Data'!B96</f>
        <v>A$ million</v>
      </c>
      <c r="C726" s="308"/>
      <c r="D726" s="309">
        <f>'Expected NPV &amp; Common Data'!D96</f>
        <v>3</v>
      </c>
      <c r="E726" s="309">
        <f>'Expected NPV &amp; Common Data'!E96</f>
        <v>3</v>
      </c>
      <c r="F726" s="309">
        <f>'Expected NPV &amp; Common Data'!F96</f>
        <v>3</v>
      </c>
      <c r="G726" s="309">
        <f>'Expected NPV &amp; Common Data'!G96</f>
        <v>3</v>
      </c>
      <c r="H726" s="309">
        <f>'Expected NPV &amp; Common Data'!H96</f>
        <v>3</v>
      </c>
      <c r="I726" s="309">
        <f>'Expected NPV &amp; Common Data'!I96</f>
        <v>3</v>
      </c>
      <c r="J726" s="309">
        <f>'Expected NPV &amp; Common Data'!J96</f>
        <v>3</v>
      </c>
      <c r="K726" s="309">
        <f>'Expected NPV &amp; Common Data'!K96</f>
        <v>3</v>
      </c>
      <c r="L726" s="309">
        <f>'Expected NPV &amp; Common Data'!L96</f>
        <v>3</v>
      </c>
      <c r="M726" s="309">
        <f>'Expected NPV &amp; Common Data'!M96</f>
        <v>3</v>
      </c>
      <c r="N726" s="309">
        <f>'Expected NPV &amp; Common Data'!N96</f>
        <v>3</v>
      </c>
      <c r="O726" s="309">
        <f>'Expected NPV &amp; Common Data'!O96</f>
        <v>3</v>
      </c>
      <c r="P726" s="309">
        <f>'Expected NPV &amp; Common Data'!P96</f>
        <v>3</v>
      </c>
      <c r="Q726" s="309">
        <f>'Expected NPV &amp; Common Data'!Q96</f>
        <v>3</v>
      </c>
      <c r="R726" s="309">
        <f>'Expected NPV &amp; Common Data'!R96</f>
        <v>3</v>
      </c>
      <c r="S726" s="309">
        <f>'Expected NPV &amp; Common Data'!S96</f>
        <v>3</v>
      </c>
      <c r="T726" s="309">
        <f>'Expected NPV &amp; Common Data'!T96</f>
        <v>3</v>
      </c>
      <c r="U726" s="309">
        <f>'Expected NPV &amp; Common Data'!U96</f>
        <v>3</v>
      </c>
      <c r="V726" s="309">
        <f>'Expected NPV &amp; Common Data'!V96</f>
        <v>3</v>
      </c>
      <c r="W726" s="309">
        <f>'Expected NPV &amp; Common Data'!W96</f>
        <v>3</v>
      </c>
      <c r="X726" s="309">
        <f>'Expected NPV &amp; Common Data'!X96</f>
        <v>3</v>
      </c>
      <c r="Y726" s="309">
        <f>'Expected NPV &amp; Common Data'!Y96</f>
        <v>3</v>
      </c>
      <c r="Z726" s="309">
        <f>'Expected NPV &amp; Common Data'!Z96</f>
        <v>3</v>
      </c>
      <c r="AA726" s="309">
        <f>'Expected NPV &amp; Common Data'!AA96</f>
        <v>3</v>
      </c>
      <c r="AB726" s="309">
        <f>'Expected NPV &amp; Common Data'!AB96</f>
        <v>3</v>
      </c>
      <c r="AC726" s="309">
        <f>'Expected NPV &amp; Common Data'!AC96</f>
        <v>3</v>
      </c>
      <c r="AD726" s="309">
        <f>'Expected NPV &amp; Common Data'!AD96</f>
        <v>3</v>
      </c>
    </row>
    <row r="727" spans="1:30" outlineLevel="1">
      <c r="A727" s="247" t="str">
        <f>'Expected NPV &amp; Common Data'!A97</f>
        <v>Threshold tax rate</v>
      </c>
      <c r="B727" s="247" t="str">
        <f>'Expected NPV &amp; Common Data'!B97</f>
        <v>% assessable income</v>
      </c>
      <c r="C727" s="248"/>
      <c r="D727" s="262">
        <f>'Expected NPV &amp; Common Data'!D97</f>
        <v>0.1</v>
      </c>
      <c r="E727" s="262">
        <f>'Expected NPV &amp; Common Data'!E97</f>
        <v>0.1</v>
      </c>
      <c r="F727" s="262">
        <f>'Expected NPV &amp; Common Data'!F97</f>
        <v>0.1</v>
      </c>
      <c r="G727" s="262">
        <f>'Expected NPV &amp; Common Data'!G97</f>
        <v>0.1</v>
      </c>
      <c r="H727" s="262">
        <f>'Expected NPV &amp; Common Data'!H97</f>
        <v>0.1</v>
      </c>
      <c r="I727" s="262">
        <f>'Expected NPV &amp; Common Data'!I97</f>
        <v>0.1</v>
      </c>
      <c r="J727" s="262">
        <f>'Expected NPV &amp; Common Data'!J97</f>
        <v>0.1</v>
      </c>
      <c r="K727" s="262">
        <f>'Expected NPV &amp; Common Data'!K97</f>
        <v>0.1</v>
      </c>
      <c r="L727" s="262">
        <f>'Expected NPV &amp; Common Data'!L97</f>
        <v>0.1</v>
      </c>
      <c r="M727" s="262">
        <f>'Expected NPV &amp; Common Data'!M97</f>
        <v>0.1</v>
      </c>
      <c r="N727" s="262">
        <f>'Expected NPV &amp; Common Data'!N97</f>
        <v>0.1</v>
      </c>
      <c r="O727" s="262">
        <f>'Expected NPV &amp; Common Data'!O97</f>
        <v>0.1</v>
      </c>
      <c r="P727" s="262">
        <f>'Expected NPV &amp; Common Data'!P97</f>
        <v>0.1</v>
      </c>
      <c r="Q727" s="262">
        <f>'Expected NPV &amp; Common Data'!Q97</f>
        <v>0.1</v>
      </c>
      <c r="R727" s="262">
        <f>'Expected NPV &amp; Common Data'!R97</f>
        <v>0.1</v>
      </c>
      <c r="S727" s="262">
        <f>'Expected NPV &amp; Common Data'!S97</f>
        <v>0.1</v>
      </c>
      <c r="T727" s="262">
        <f>'Expected NPV &amp; Common Data'!T97</f>
        <v>0.1</v>
      </c>
      <c r="U727" s="262">
        <f>'Expected NPV &amp; Common Data'!U97</f>
        <v>0.1</v>
      </c>
      <c r="V727" s="262">
        <f>'Expected NPV &amp; Common Data'!V97</f>
        <v>0.1</v>
      </c>
      <c r="W727" s="262">
        <f>'Expected NPV &amp; Common Data'!W97</f>
        <v>0.1</v>
      </c>
      <c r="X727" s="262">
        <f>'Expected NPV &amp; Common Data'!X97</f>
        <v>0.1</v>
      </c>
      <c r="Y727" s="262">
        <f>'Expected NPV &amp; Common Data'!Y97</f>
        <v>0.1</v>
      </c>
      <c r="Z727" s="262">
        <f>'Expected NPV &amp; Common Data'!Z97</f>
        <v>0.1</v>
      </c>
      <c r="AA727" s="262">
        <f>'Expected NPV &amp; Common Data'!AA97</f>
        <v>0.1</v>
      </c>
      <c r="AB727" s="262">
        <f>'Expected NPV &amp; Common Data'!AB97</f>
        <v>0.1</v>
      </c>
      <c r="AC727" s="262">
        <f>'Expected NPV &amp; Common Data'!AC97</f>
        <v>0.1</v>
      </c>
      <c r="AD727" s="262">
        <f>'Expected NPV &amp; Common Data'!AD97</f>
        <v>0.1</v>
      </c>
    </row>
    <row r="728" spans="1:30" outlineLevel="1">
      <c r="A728" s="45" t="s">
        <v>146</v>
      </c>
      <c r="B728" s="13" t="s">
        <v>284</v>
      </c>
      <c r="C728" s="42">
        <f>SUM(D728:AD728)</f>
        <v>39</v>
      </c>
      <c r="D728" s="56">
        <f>MIN(D721,D726)</f>
        <v>0</v>
      </c>
      <c r="E728" s="56">
        <f t="shared" ref="E728:AD728" si="435">MIN(E721,E726)</f>
        <v>0</v>
      </c>
      <c r="F728" s="56">
        <f t="shared" si="435"/>
        <v>0</v>
      </c>
      <c r="G728" s="56">
        <f t="shared" si="435"/>
        <v>0</v>
      </c>
      <c r="H728" s="56">
        <f t="shared" si="435"/>
        <v>3</v>
      </c>
      <c r="I728" s="56">
        <f t="shared" si="435"/>
        <v>3</v>
      </c>
      <c r="J728" s="56">
        <f t="shared" si="435"/>
        <v>3</v>
      </c>
      <c r="K728" s="56">
        <f t="shared" si="435"/>
        <v>3</v>
      </c>
      <c r="L728" s="56">
        <f t="shared" si="435"/>
        <v>3</v>
      </c>
      <c r="M728" s="56">
        <f t="shared" si="435"/>
        <v>3</v>
      </c>
      <c r="N728" s="56">
        <f t="shared" si="435"/>
        <v>3</v>
      </c>
      <c r="O728" s="56">
        <f t="shared" si="435"/>
        <v>3</v>
      </c>
      <c r="P728" s="56">
        <f t="shared" si="435"/>
        <v>3</v>
      </c>
      <c r="Q728" s="56">
        <f t="shared" si="435"/>
        <v>3</v>
      </c>
      <c r="R728" s="56">
        <f t="shared" si="435"/>
        <v>3</v>
      </c>
      <c r="S728" s="56">
        <f t="shared" si="435"/>
        <v>3</v>
      </c>
      <c r="T728" s="56">
        <f t="shared" si="435"/>
        <v>3</v>
      </c>
      <c r="U728" s="56">
        <f t="shared" si="435"/>
        <v>0</v>
      </c>
      <c r="V728" s="56">
        <f t="shared" si="435"/>
        <v>0</v>
      </c>
      <c r="W728" s="56">
        <f t="shared" si="435"/>
        <v>0</v>
      </c>
      <c r="X728" s="56">
        <f t="shared" si="435"/>
        <v>0</v>
      </c>
      <c r="Y728" s="56">
        <f t="shared" si="435"/>
        <v>0</v>
      </c>
      <c r="Z728" s="56">
        <f t="shared" si="435"/>
        <v>0</v>
      </c>
      <c r="AA728" s="56">
        <f t="shared" si="435"/>
        <v>0</v>
      </c>
      <c r="AB728" s="56">
        <f t="shared" si="435"/>
        <v>0</v>
      </c>
      <c r="AC728" s="56">
        <f t="shared" si="435"/>
        <v>0</v>
      </c>
      <c r="AD728" s="56">
        <f t="shared" si="435"/>
        <v>0</v>
      </c>
    </row>
    <row r="729" spans="1:30" outlineLevel="1">
      <c r="A729" s="45" t="s">
        <v>144</v>
      </c>
      <c r="B729" s="13" t="s">
        <v>284</v>
      </c>
      <c r="C729" s="42">
        <f>SUM(D729:AD729)</f>
        <v>3.8999999999999995</v>
      </c>
      <c r="D729" s="101">
        <f t="shared" ref="D729:AD729" si="436">D727*D728</f>
        <v>0</v>
      </c>
      <c r="E729" s="101">
        <f t="shared" si="436"/>
        <v>0</v>
      </c>
      <c r="F729" s="101">
        <f t="shared" si="436"/>
        <v>0</v>
      </c>
      <c r="G729" s="101">
        <f t="shared" si="436"/>
        <v>0</v>
      </c>
      <c r="H729" s="101">
        <f t="shared" si="436"/>
        <v>0.30000000000000004</v>
      </c>
      <c r="I729" s="101">
        <f t="shared" si="436"/>
        <v>0.30000000000000004</v>
      </c>
      <c r="J729" s="101">
        <f t="shared" si="436"/>
        <v>0.30000000000000004</v>
      </c>
      <c r="K729" s="101">
        <f t="shared" si="436"/>
        <v>0.30000000000000004</v>
      </c>
      <c r="L729" s="101">
        <f t="shared" si="436"/>
        <v>0.30000000000000004</v>
      </c>
      <c r="M729" s="101">
        <f t="shared" si="436"/>
        <v>0.30000000000000004</v>
      </c>
      <c r="N729" s="101">
        <f t="shared" si="436"/>
        <v>0.30000000000000004</v>
      </c>
      <c r="O729" s="101">
        <f t="shared" si="436"/>
        <v>0.30000000000000004</v>
      </c>
      <c r="P729" s="101">
        <f t="shared" si="436"/>
        <v>0.30000000000000004</v>
      </c>
      <c r="Q729" s="101">
        <f t="shared" si="436"/>
        <v>0.30000000000000004</v>
      </c>
      <c r="R729" s="101">
        <f t="shared" si="436"/>
        <v>0.30000000000000004</v>
      </c>
      <c r="S729" s="101">
        <f t="shared" si="436"/>
        <v>0.30000000000000004</v>
      </c>
      <c r="T729" s="101">
        <f t="shared" si="436"/>
        <v>0.30000000000000004</v>
      </c>
      <c r="U729" s="101">
        <f t="shared" si="436"/>
        <v>0</v>
      </c>
      <c r="V729" s="101">
        <f t="shared" si="436"/>
        <v>0</v>
      </c>
      <c r="W729" s="101">
        <f t="shared" si="436"/>
        <v>0</v>
      </c>
      <c r="X729" s="101">
        <f t="shared" si="436"/>
        <v>0</v>
      </c>
      <c r="Y729" s="101">
        <f t="shared" si="436"/>
        <v>0</v>
      </c>
      <c r="Z729" s="101">
        <f t="shared" si="436"/>
        <v>0</v>
      </c>
      <c r="AA729" s="101">
        <f t="shared" si="436"/>
        <v>0</v>
      </c>
      <c r="AB729" s="101">
        <f t="shared" si="436"/>
        <v>0</v>
      </c>
      <c r="AC729" s="101">
        <f t="shared" si="436"/>
        <v>0</v>
      </c>
      <c r="AD729" s="101">
        <f t="shared" si="436"/>
        <v>0</v>
      </c>
    </row>
    <row r="730" spans="1:30" outlineLevel="1">
      <c r="A730" s="45"/>
      <c r="C730" s="42"/>
      <c r="D730" s="42"/>
      <c r="E730" s="42"/>
      <c r="F730" s="42"/>
      <c r="G730" s="42"/>
      <c r="H730" s="42"/>
      <c r="I730" s="42"/>
      <c r="J730" s="42"/>
      <c r="K730" s="42"/>
      <c r="L730" s="42"/>
      <c r="M730" s="42"/>
      <c r="N730" s="42"/>
      <c r="O730" s="42"/>
      <c r="P730" s="42"/>
      <c r="Q730" s="42"/>
      <c r="R730" s="42"/>
      <c r="S730" s="42"/>
      <c r="T730" s="42"/>
      <c r="U730" s="42"/>
      <c r="V730" s="42"/>
      <c r="W730" s="42"/>
      <c r="X730" s="42"/>
      <c r="Y730" s="42"/>
      <c r="Z730" s="42"/>
      <c r="AA730" s="42"/>
      <c r="AB730" s="42"/>
      <c r="AC730" s="42"/>
      <c r="AD730" s="42"/>
    </row>
    <row r="731" spans="1:30" outlineLevel="1">
      <c r="A731" s="45" t="s">
        <v>145</v>
      </c>
      <c r="B731" s="13" t="s">
        <v>284</v>
      </c>
      <c r="C731" s="42">
        <f>SUM(D731:AD731)</f>
        <v>2775.8965773550849</v>
      </c>
      <c r="D731" s="42">
        <f>IF(D721&gt;D726,D721-D726,0)</f>
        <v>0</v>
      </c>
      <c r="E731" s="42">
        <f t="shared" ref="E731:AD731" si="437">IF(E721&gt;E726,E721-E726,0)</f>
        <v>0</v>
      </c>
      <c r="F731" s="42">
        <f t="shared" si="437"/>
        <v>0</v>
      </c>
      <c r="G731" s="42">
        <f t="shared" si="437"/>
        <v>0</v>
      </c>
      <c r="H731" s="42">
        <f t="shared" si="437"/>
        <v>204.35642739528697</v>
      </c>
      <c r="I731" s="42">
        <f t="shared" si="437"/>
        <v>382.20051456616011</v>
      </c>
      <c r="J731" s="42">
        <f t="shared" si="437"/>
        <v>354.36706351597275</v>
      </c>
      <c r="K731" s="42">
        <f t="shared" si="437"/>
        <v>248.48394450633612</v>
      </c>
      <c r="L731" s="42">
        <f t="shared" si="437"/>
        <v>163.84911634295634</v>
      </c>
      <c r="M731" s="42">
        <f t="shared" si="437"/>
        <v>149.06654547317169</v>
      </c>
      <c r="N731" s="42">
        <f t="shared" si="437"/>
        <v>150.59545148432107</v>
      </c>
      <c r="O731" s="42">
        <f t="shared" si="437"/>
        <v>150.12885947700249</v>
      </c>
      <c r="P731" s="42">
        <f t="shared" si="437"/>
        <v>211.66798620747943</v>
      </c>
      <c r="Q731" s="42">
        <f t="shared" si="437"/>
        <v>194.80974668978445</v>
      </c>
      <c r="R731" s="42">
        <f t="shared" si="437"/>
        <v>188.06164040089175</v>
      </c>
      <c r="S731" s="42">
        <f t="shared" si="437"/>
        <v>252.0207260582356</v>
      </c>
      <c r="T731" s="42">
        <f t="shared" si="437"/>
        <v>126.28855523748609</v>
      </c>
      <c r="U731" s="42">
        <f t="shared" si="437"/>
        <v>0</v>
      </c>
      <c r="V731" s="42">
        <f t="shared" si="437"/>
        <v>0</v>
      </c>
      <c r="W731" s="42">
        <f t="shared" si="437"/>
        <v>0</v>
      </c>
      <c r="X731" s="42">
        <f t="shared" si="437"/>
        <v>0</v>
      </c>
      <c r="Y731" s="42">
        <f t="shared" si="437"/>
        <v>0</v>
      </c>
      <c r="Z731" s="42">
        <f t="shared" si="437"/>
        <v>0</v>
      </c>
      <c r="AA731" s="42">
        <f t="shared" si="437"/>
        <v>0</v>
      </c>
      <c r="AB731" s="42">
        <f t="shared" si="437"/>
        <v>0</v>
      </c>
      <c r="AC731" s="42">
        <f t="shared" si="437"/>
        <v>0</v>
      </c>
      <c r="AD731" s="42">
        <f t="shared" si="437"/>
        <v>0</v>
      </c>
    </row>
    <row r="732" spans="1:30" outlineLevel="1">
      <c r="A732" s="247" t="str">
        <f>'Expected NPV &amp; Common Data'!A98</f>
        <v>Nationaln general income tax rate</v>
      </c>
      <c r="B732" s="247" t="str">
        <f>'Expected NPV &amp; Common Data'!B98</f>
        <v>% assessable income</v>
      </c>
      <c r="C732" s="248"/>
      <c r="D732" s="262">
        <f>'Expected NPV &amp; Common Data'!D98</f>
        <v>0.25</v>
      </c>
      <c r="E732" s="262">
        <f>'Expected NPV &amp; Common Data'!E98</f>
        <v>0.25</v>
      </c>
      <c r="F732" s="262">
        <f>'Expected NPV &amp; Common Data'!F98</f>
        <v>0.25</v>
      </c>
      <c r="G732" s="262">
        <f>'Expected NPV &amp; Common Data'!G98</f>
        <v>0.25</v>
      </c>
      <c r="H732" s="262">
        <f>'Expected NPV &amp; Common Data'!H98</f>
        <v>0.25</v>
      </c>
      <c r="I732" s="262">
        <f>'Expected NPV &amp; Common Data'!I98</f>
        <v>0.25</v>
      </c>
      <c r="J732" s="262">
        <f>'Expected NPV &amp; Common Data'!J98</f>
        <v>0.25</v>
      </c>
      <c r="K732" s="262">
        <f>'Expected NPV &amp; Common Data'!K98</f>
        <v>0.25</v>
      </c>
      <c r="L732" s="262">
        <f>'Expected NPV &amp; Common Data'!L98</f>
        <v>0.25</v>
      </c>
      <c r="M732" s="262">
        <f>'Expected NPV &amp; Common Data'!M98</f>
        <v>0.25</v>
      </c>
      <c r="N732" s="262">
        <f>'Expected NPV &amp; Common Data'!N98</f>
        <v>0.25</v>
      </c>
      <c r="O732" s="262">
        <f>'Expected NPV &amp; Common Data'!O98</f>
        <v>0.25</v>
      </c>
      <c r="P732" s="262">
        <f>'Expected NPV &amp; Common Data'!P98</f>
        <v>0.25</v>
      </c>
      <c r="Q732" s="262">
        <f>'Expected NPV &amp; Common Data'!Q98</f>
        <v>0.25</v>
      </c>
      <c r="R732" s="262">
        <f>'Expected NPV &amp; Common Data'!R98</f>
        <v>0.25</v>
      </c>
      <c r="S732" s="262">
        <f>'Expected NPV &amp; Common Data'!S98</f>
        <v>0.25</v>
      </c>
      <c r="T732" s="262">
        <f>'Expected NPV &amp; Common Data'!T98</f>
        <v>0.25</v>
      </c>
      <c r="U732" s="262">
        <f>'Expected NPV &amp; Common Data'!U98</f>
        <v>0.25</v>
      </c>
      <c r="V732" s="262">
        <f>'Expected NPV &amp; Common Data'!V98</f>
        <v>0.25</v>
      </c>
      <c r="W732" s="262">
        <f>'Expected NPV &amp; Common Data'!W98</f>
        <v>0.25</v>
      </c>
      <c r="X732" s="262">
        <f>'Expected NPV &amp; Common Data'!X98</f>
        <v>0.25</v>
      </c>
      <c r="Y732" s="262">
        <f>'Expected NPV &amp; Common Data'!Y98</f>
        <v>0.25</v>
      </c>
      <c r="Z732" s="262">
        <f>'Expected NPV &amp; Common Data'!Z98</f>
        <v>0.25</v>
      </c>
      <c r="AA732" s="262">
        <f>'Expected NPV &amp; Common Data'!AA98</f>
        <v>0.25</v>
      </c>
      <c r="AB732" s="262">
        <f>'Expected NPV &amp; Common Data'!AB98</f>
        <v>0.25</v>
      </c>
      <c r="AC732" s="262">
        <f>'Expected NPV &amp; Common Data'!AC98</f>
        <v>0.25</v>
      </c>
      <c r="AD732" s="262">
        <f>'Expected NPV &amp; Common Data'!AD98</f>
        <v>0.25</v>
      </c>
    </row>
    <row r="733" spans="1:30" outlineLevel="1">
      <c r="A733" s="45" t="s">
        <v>147</v>
      </c>
      <c r="B733" s="13" t="s">
        <v>284</v>
      </c>
      <c r="C733" s="42">
        <f>SUM(D733:AD733)</f>
        <v>693.97414433877123</v>
      </c>
      <c r="D733" s="70">
        <f>D731*D732</f>
        <v>0</v>
      </c>
      <c r="E733" s="70">
        <f t="shared" ref="E733:AD733" si="438">E731*E732</f>
        <v>0</v>
      </c>
      <c r="F733" s="70">
        <f t="shared" si="438"/>
        <v>0</v>
      </c>
      <c r="G733" s="70">
        <f t="shared" si="438"/>
        <v>0</v>
      </c>
      <c r="H733" s="70">
        <f t="shared" si="438"/>
        <v>51.089106848821743</v>
      </c>
      <c r="I733" s="70">
        <f t="shared" si="438"/>
        <v>95.550128641540027</v>
      </c>
      <c r="J733" s="70">
        <f t="shared" si="438"/>
        <v>88.591765878993186</v>
      </c>
      <c r="K733" s="70">
        <f t="shared" si="438"/>
        <v>62.120986126584029</v>
      </c>
      <c r="L733" s="70">
        <f t="shared" si="438"/>
        <v>40.962279085739084</v>
      </c>
      <c r="M733" s="70">
        <f t="shared" si="438"/>
        <v>37.266636368292922</v>
      </c>
      <c r="N733" s="70">
        <f t="shared" si="438"/>
        <v>37.648862871080269</v>
      </c>
      <c r="O733" s="70">
        <f t="shared" si="438"/>
        <v>37.532214869250623</v>
      </c>
      <c r="P733" s="70">
        <f t="shared" si="438"/>
        <v>52.916996551869858</v>
      </c>
      <c r="Q733" s="70">
        <f t="shared" si="438"/>
        <v>48.702436672446112</v>
      </c>
      <c r="R733" s="70">
        <f t="shared" si="438"/>
        <v>47.015410100222937</v>
      </c>
      <c r="S733" s="70">
        <f t="shared" si="438"/>
        <v>63.005181514558899</v>
      </c>
      <c r="T733" s="70">
        <f t="shared" si="438"/>
        <v>31.572138809371523</v>
      </c>
      <c r="U733" s="70">
        <f t="shared" si="438"/>
        <v>0</v>
      </c>
      <c r="V733" s="70">
        <f t="shared" si="438"/>
        <v>0</v>
      </c>
      <c r="W733" s="70">
        <f t="shared" si="438"/>
        <v>0</v>
      </c>
      <c r="X733" s="70">
        <f t="shared" si="438"/>
        <v>0</v>
      </c>
      <c r="Y733" s="70">
        <f t="shared" si="438"/>
        <v>0</v>
      </c>
      <c r="Z733" s="70">
        <f t="shared" si="438"/>
        <v>0</v>
      </c>
      <c r="AA733" s="70">
        <f t="shared" si="438"/>
        <v>0</v>
      </c>
      <c r="AB733" s="70">
        <f t="shared" si="438"/>
        <v>0</v>
      </c>
      <c r="AC733" s="70">
        <f t="shared" si="438"/>
        <v>0</v>
      </c>
      <c r="AD733" s="70">
        <f t="shared" si="438"/>
        <v>0</v>
      </c>
    </row>
    <row r="734" spans="1:30" outlineLevel="1">
      <c r="A734" s="45"/>
      <c r="D734" s="42"/>
      <c r="E734" s="42"/>
      <c r="F734" s="42"/>
      <c r="G734" s="42"/>
      <c r="H734" s="42"/>
      <c r="I734" s="42"/>
      <c r="J734" s="42"/>
      <c r="K734" s="42"/>
      <c r="L734" s="42"/>
      <c r="M734" s="42"/>
      <c r="N734" s="42"/>
      <c r="O734" s="42"/>
      <c r="P734" s="42"/>
      <c r="Q734" s="42"/>
      <c r="R734" s="42"/>
      <c r="S734" s="42"/>
      <c r="T734" s="42"/>
      <c r="U734" s="42"/>
      <c r="V734" s="42"/>
      <c r="W734" s="42"/>
      <c r="X734" s="42"/>
      <c r="Y734" s="42"/>
      <c r="Z734" s="42"/>
      <c r="AA734" s="42"/>
      <c r="AB734" s="42"/>
      <c r="AC734" s="42"/>
      <c r="AD734" s="42"/>
    </row>
    <row r="735" spans="1:30" s="45" customFormat="1" ht="15.5" outlineLevel="1">
      <c r="A735" s="82" t="s">
        <v>402</v>
      </c>
      <c r="B735" s="13" t="s">
        <v>284</v>
      </c>
      <c r="C735" s="44">
        <f>SUM(D735:AD735)</f>
        <v>697.87414433877109</v>
      </c>
      <c r="D735" s="83">
        <f t="shared" ref="D735:AD735" si="439">D729+D733</f>
        <v>0</v>
      </c>
      <c r="E735" s="83">
        <f t="shared" si="439"/>
        <v>0</v>
      </c>
      <c r="F735" s="83">
        <f t="shared" si="439"/>
        <v>0</v>
      </c>
      <c r="G735" s="83">
        <f t="shared" si="439"/>
        <v>0</v>
      </c>
      <c r="H735" s="83">
        <f t="shared" si="439"/>
        <v>51.38910684882174</v>
      </c>
      <c r="I735" s="83">
        <f t="shared" si="439"/>
        <v>95.850128641540024</v>
      </c>
      <c r="J735" s="83">
        <f t="shared" si="439"/>
        <v>88.891765878993183</v>
      </c>
      <c r="K735" s="83">
        <f t="shared" si="439"/>
        <v>62.420986126584026</v>
      </c>
      <c r="L735" s="83">
        <f t="shared" si="439"/>
        <v>41.262279085739081</v>
      </c>
      <c r="M735" s="83">
        <f t="shared" si="439"/>
        <v>37.566636368292919</v>
      </c>
      <c r="N735" s="83">
        <f t="shared" si="439"/>
        <v>37.948862871080266</v>
      </c>
      <c r="O735" s="83">
        <f t="shared" si="439"/>
        <v>37.83221486925062</v>
      </c>
      <c r="P735" s="83">
        <f t="shared" si="439"/>
        <v>53.216996551869855</v>
      </c>
      <c r="Q735" s="83">
        <f t="shared" si="439"/>
        <v>49.002436672446109</v>
      </c>
      <c r="R735" s="83">
        <f t="shared" si="439"/>
        <v>47.315410100222934</v>
      </c>
      <c r="S735" s="83">
        <f t="shared" si="439"/>
        <v>63.305181514558896</v>
      </c>
      <c r="T735" s="83">
        <f t="shared" si="439"/>
        <v>31.872138809371524</v>
      </c>
      <c r="U735" s="83">
        <f t="shared" si="439"/>
        <v>0</v>
      </c>
      <c r="V735" s="83">
        <f t="shared" si="439"/>
        <v>0</v>
      </c>
      <c r="W735" s="83">
        <f t="shared" si="439"/>
        <v>0</v>
      </c>
      <c r="X735" s="83">
        <f t="shared" si="439"/>
        <v>0</v>
      </c>
      <c r="Y735" s="83">
        <f t="shared" si="439"/>
        <v>0</v>
      </c>
      <c r="Z735" s="83">
        <f t="shared" si="439"/>
        <v>0</v>
      </c>
      <c r="AA735" s="83">
        <f t="shared" si="439"/>
        <v>0</v>
      </c>
      <c r="AB735" s="83">
        <f t="shared" si="439"/>
        <v>0</v>
      </c>
      <c r="AC735" s="83">
        <f t="shared" si="439"/>
        <v>0</v>
      </c>
      <c r="AD735" s="83">
        <f t="shared" si="439"/>
        <v>0</v>
      </c>
    </row>
    <row r="736" spans="1:30" s="45" customFormat="1" outlineLevel="1">
      <c r="A736" s="59"/>
      <c r="B736" s="13"/>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c r="AA736" s="44"/>
      <c r="AB736" s="44"/>
      <c r="AC736" s="44"/>
      <c r="AD736" s="44"/>
    </row>
    <row r="737" spans="1:30" s="45" customFormat="1" ht="15.5" outlineLevel="1">
      <c r="A737" s="82" t="s">
        <v>404</v>
      </c>
      <c r="B737" s="13" t="s">
        <v>284</v>
      </c>
      <c r="C737" s="42">
        <f>SUM(D737:AD737)</f>
        <v>1939.7349934566203</v>
      </c>
      <c r="D737" s="44">
        <f t="shared" ref="D737:AD737" si="440">D696+D735</f>
        <v>0</v>
      </c>
      <c r="E737" s="44">
        <f t="shared" si="440"/>
        <v>0</v>
      </c>
      <c r="F737" s="44">
        <f t="shared" si="440"/>
        <v>49.502374714391351</v>
      </c>
      <c r="G737" s="44">
        <f t="shared" si="440"/>
        <v>88.985374926986495</v>
      </c>
      <c r="H737" s="44">
        <f t="shared" si="440"/>
        <v>146.69295678766622</v>
      </c>
      <c r="I737" s="44">
        <f t="shared" si="440"/>
        <v>191.14579444576157</v>
      </c>
      <c r="J737" s="44">
        <f t="shared" si="440"/>
        <v>187.55316203652362</v>
      </c>
      <c r="K737" s="44">
        <f t="shared" si="440"/>
        <v>149.77650459718782</v>
      </c>
      <c r="L737" s="44">
        <f t="shared" si="440"/>
        <v>123.60226076551919</v>
      </c>
      <c r="M737" s="44">
        <f t="shared" si="440"/>
        <v>119.21449837138705</v>
      </c>
      <c r="N737" s="44">
        <f t="shared" si="440"/>
        <v>119.58857126683741</v>
      </c>
      <c r="O737" s="44">
        <f t="shared" si="440"/>
        <v>119.4636881215974</v>
      </c>
      <c r="P737" s="44">
        <f t="shared" si="440"/>
        <v>136.95043235867183</v>
      </c>
      <c r="Q737" s="44">
        <f t="shared" si="440"/>
        <v>123.01786066357984</v>
      </c>
      <c r="R737" s="44">
        <f t="shared" si="440"/>
        <v>120.83870661020708</v>
      </c>
      <c r="S737" s="44">
        <f t="shared" si="440"/>
        <v>136.82019101304297</v>
      </c>
      <c r="T737" s="44">
        <f t="shared" si="440"/>
        <v>126.58261677726048</v>
      </c>
      <c r="U737" s="44">
        <f t="shared" si="440"/>
        <v>0</v>
      </c>
      <c r="V737" s="44">
        <f t="shared" si="440"/>
        <v>0</v>
      </c>
      <c r="W737" s="44">
        <f t="shared" si="440"/>
        <v>0</v>
      </c>
      <c r="X737" s="44">
        <f t="shared" si="440"/>
        <v>0</v>
      </c>
      <c r="Y737" s="44">
        <f t="shared" si="440"/>
        <v>0</v>
      </c>
      <c r="Z737" s="44">
        <f t="shared" si="440"/>
        <v>0</v>
      </c>
      <c r="AA737" s="44">
        <f t="shared" si="440"/>
        <v>0</v>
      </c>
      <c r="AB737" s="44">
        <f t="shared" si="440"/>
        <v>0</v>
      </c>
      <c r="AC737" s="44">
        <f t="shared" si="440"/>
        <v>0</v>
      </c>
      <c r="AD737" s="44">
        <f t="shared" si="440"/>
        <v>0</v>
      </c>
    </row>
    <row r="738" spans="1:30" outlineLevel="1">
      <c r="A738" s="144" t="str">
        <f>A$98</f>
        <v>Forex: A$ = US$  - mid case</v>
      </c>
      <c r="B738" s="142" t="str">
        <f>B$98</f>
        <v>A$1.00 = US$ ....</v>
      </c>
      <c r="C738" s="57"/>
      <c r="D738" s="57">
        <f t="shared" ref="D738:AD738" si="441">D$98</f>
        <v>0.65</v>
      </c>
      <c r="E738" s="57">
        <f t="shared" si="441"/>
        <v>0.65</v>
      </c>
      <c r="F738" s="57">
        <f t="shared" si="441"/>
        <v>0.65</v>
      </c>
      <c r="G738" s="57">
        <f t="shared" si="441"/>
        <v>0.65</v>
      </c>
      <c r="H738" s="57">
        <f t="shared" si="441"/>
        <v>0.65</v>
      </c>
      <c r="I738" s="57">
        <f t="shared" si="441"/>
        <v>0.65</v>
      </c>
      <c r="J738" s="57">
        <f t="shared" si="441"/>
        <v>0.65</v>
      </c>
      <c r="K738" s="57">
        <f t="shared" si="441"/>
        <v>0.65</v>
      </c>
      <c r="L738" s="57">
        <f t="shared" si="441"/>
        <v>0.65</v>
      </c>
      <c r="M738" s="57">
        <f t="shared" si="441"/>
        <v>0.65</v>
      </c>
      <c r="N738" s="57">
        <f t="shared" si="441"/>
        <v>0.65</v>
      </c>
      <c r="O738" s="57">
        <f t="shared" si="441"/>
        <v>0.65</v>
      </c>
      <c r="P738" s="57">
        <f t="shared" si="441"/>
        <v>0.65</v>
      </c>
      <c r="Q738" s="57">
        <f t="shared" si="441"/>
        <v>0.65</v>
      </c>
      <c r="R738" s="57">
        <f t="shared" si="441"/>
        <v>0.65</v>
      </c>
      <c r="S738" s="57">
        <f t="shared" si="441"/>
        <v>0.65</v>
      </c>
      <c r="T738" s="57">
        <f t="shared" si="441"/>
        <v>0.65</v>
      </c>
      <c r="U738" s="57">
        <f t="shared" si="441"/>
        <v>0.65</v>
      </c>
      <c r="V738" s="57">
        <f t="shared" si="441"/>
        <v>0.65</v>
      </c>
      <c r="W738" s="57">
        <f t="shared" si="441"/>
        <v>0.65</v>
      </c>
      <c r="X738" s="57">
        <f t="shared" si="441"/>
        <v>0.65</v>
      </c>
      <c r="Y738" s="57">
        <f t="shared" si="441"/>
        <v>0.65</v>
      </c>
      <c r="Z738" s="57">
        <f t="shared" si="441"/>
        <v>0.65</v>
      </c>
      <c r="AA738" s="57">
        <f t="shared" si="441"/>
        <v>0.65</v>
      </c>
      <c r="AB738" s="57">
        <f t="shared" si="441"/>
        <v>0.65</v>
      </c>
      <c r="AC738" s="57">
        <f t="shared" si="441"/>
        <v>0.65</v>
      </c>
      <c r="AD738" s="57">
        <f t="shared" si="441"/>
        <v>0.65</v>
      </c>
    </row>
    <row r="739" spans="1:30" s="25" customFormat="1" ht="37.25" customHeight="1">
      <c r="A739" s="26" t="str">
        <f>"Cashstream 4: Taxes - "&amp;A3</f>
        <v>Cashstream 4: Taxes - Mid Case</v>
      </c>
      <c r="B739" s="32" t="s">
        <v>82</v>
      </c>
      <c r="C739" s="27">
        <f>SUM(D739:AD739)</f>
        <v>1260.8277457468032</v>
      </c>
      <c r="D739" s="129">
        <f>D737*D738</f>
        <v>0</v>
      </c>
      <c r="E739" s="129">
        <f t="shared" ref="E739:AD739" si="442">E737*E738</f>
        <v>0</v>
      </c>
      <c r="F739" s="129">
        <f t="shared" si="442"/>
        <v>32.176543564354382</v>
      </c>
      <c r="G739" s="129">
        <f t="shared" si="442"/>
        <v>57.840493702541224</v>
      </c>
      <c r="H739" s="129">
        <f t="shared" si="442"/>
        <v>95.350421911983048</v>
      </c>
      <c r="I739" s="129">
        <f t="shared" si="442"/>
        <v>124.24476638974502</v>
      </c>
      <c r="J739" s="129">
        <f t="shared" si="442"/>
        <v>121.90955532374035</v>
      </c>
      <c r="K739" s="129">
        <f t="shared" si="442"/>
        <v>97.354727988172087</v>
      </c>
      <c r="L739" s="129">
        <f t="shared" si="442"/>
        <v>80.341469497587482</v>
      </c>
      <c r="M739" s="129">
        <f t="shared" si="442"/>
        <v>77.489423941401583</v>
      </c>
      <c r="N739" s="129">
        <f t="shared" si="442"/>
        <v>77.732571323444319</v>
      </c>
      <c r="O739" s="129">
        <f t="shared" si="442"/>
        <v>77.651397279038306</v>
      </c>
      <c r="P739" s="129">
        <f t="shared" si="442"/>
        <v>89.0177810331367</v>
      </c>
      <c r="Q739" s="129">
        <f t="shared" si="442"/>
        <v>79.961609431326892</v>
      </c>
      <c r="R739" s="129">
        <f t="shared" si="442"/>
        <v>78.545159296634608</v>
      </c>
      <c r="S739" s="129">
        <f t="shared" si="442"/>
        <v>88.933124158477938</v>
      </c>
      <c r="T739" s="129">
        <f t="shared" si="442"/>
        <v>82.27870090521931</v>
      </c>
      <c r="U739" s="129">
        <f t="shared" si="442"/>
        <v>0</v>
      </c>
      <c r="V739" s="129">
        <f t="shared" si="442"/>
        <v>0</v>
      </c>
      <c r="W739" s="129">
        <f t="shared" si="442"/>
        <v>0</v>
      </c>
      <c r="X739" s="129">
        <f t="shared" si="442"/>
        <v>0</v>
      </c>
      <c r="Y739" s="129">
        <f t="shared" si="442"/>
        <v>0</v>
      </c>
      <c r="Z739" s="129">
        <f t="shared" si="442"/>
        <v>0</v>
      </c>
      <c r="AA739" s="129">
        <f t="shared" si="442"/>
        <v>0</v>
      </c>
      <c r="AB739" s="129">
        <f t="shared" si="442"/>
        <v>0</v>
      </c>
      <c r="AC739" s="129">
        <f t="shared" si="442"/>
        <v>0</v>
      </c>
      <c r="AD739" s="129">
        <f t="shared" si="442"/>
        <v>0</v>
      </c>
    </row>
    <row r="740" spans="1:30">
      <c r="A740" s="14"/>
      <c r="D740" s="15"/>
      <c r="E740" s="15"/>
      <c r="F740" s="15"/>
      <c r="G740" s="15"/>
      <c r="H740" s="15"/>
      <c r="I740" s="15"/>
      <c r="J740" s="15"/>
      <c r="K740" s="15"/>
      <c r="L740" s="15"/>
      <c r="M740" s="15"/>
      <c r="N740" s="15"/>
      <c r="O740" s="15"/>
      <c r="P740" s="15"/>
      <c r="Q740" s="15"/>
      <c r="R740" s="15"/>
      <c r="S740" s="15"/>
      <c r="T740" s="15"/>
      <c r="U740" s="15"/>
      <c r="V740" s="15"/>
      <c r="W740" s="15"/>
      <c r="X740" s="15"/>
      <c r="Y740" s="15"/>
      <c r="Z740" s="15"/>
      <c r="AA740" s="15"/>
      <c r="AB740" s="15"/>
      <c r="AC740" s="15"/>
      <c r="AD740" s="15"/>
    </row>
    <row r="741" spans="1:30" s="8" customFormat="1" ht="15.5">
      <c r="A741" s="242" t="str">
        <f>'Expected NPV &amp; Common Data'!A$36</f>
        <v>Calendar Year --&gt;</v>
      </c>
      <c r="B741" s="243" t="str">
        <f>'Expected NPV &amp; Common Data'!B$36</f>
        <v>units</v>
      </c>
      <c r="C741" s="244" t="str">
        <f>'Expected NPV &amp; Common Data'!C$36</f>
        <v>Total</v>
      </c>
      <c r="D741" s="245">
        <f>'Expected NPV &amp; Common Data'!D$36</f>
        <v>2027</v>
      </c>
      <c r="E741" s="245">
        <f>'Expected NPV &amp; Common Data'!E$36</f>
        <v>2028</v>
      </c>
      <c r="F741" s="245">
        <f>'Expected NPV &amp; Common Data'!F$36</f>
        <v>2029</v>
      </c>
      <c r="G741" s="245">
        <f>'Expected NPV &amp; Common Data'!G$36</f>
        <v>2030</v>
      </c>
      <c r="H741" s="245">
        <f>'Expected NPV &amp; Common Data'!H$36</f>
        <v>2031</v>
      </c>
      <c r="I741" s="245">
        <f>'Expected NPV &amp; Common Data'!I$36</f>
        <v>2032</v>
      </c>
      <c r="J741" s="245">
        <f>'Expected NPV &amp; Common Data'!J$36</f>
        <v>2033</v>
      </c>
      <c r="K741" s="245">
        <f>'Expected NPV &amp; Common Data'!K$36</f>
        <v>2034</v>
      </c>
      <c r="L741" s="245">
        <f>'Expected NPV &amp; Common Data'!L$36</f>
        <v>2035</v>
      </c>
      <c r="M741" s="245">
        <f>'Expected NPV &amp; Common Data'!M$36</f>
        <v>2036</v>
      </c>
      <c r="N741" s="245">
        <f>'Expected NPV &amp; Common Data'!N$36</f>
        <v>2037</v>
      </c>
      <c r="O741" s="245">
        <f>'Expected NPV &amp; Common Data'!O$36</f>
        <v>2038</v>
      </c>
      <c r="P741" s="245">
        <f>'Expected NPV &amp; Common Data'!P$36</f>
        <v>2039</v>
      </c>
      <c r="Q741" s="245">
        <f>'Expected NPV &amp; Common Data'!Q$36</f>
        <v>2040</v>
      </c>
      <c r="R741" s="245">
        <f>'Expected NPV &amp; Common Data'!R$36</f>
        <v>2041</v>
      </c>
      <c r="S741" s="245">
        <f>'Expected NPV &amp; Common Data'!S$36</f>
        <v>2042</v>
      </c>
      <c r="T741" s="245">
        <f>'Expected NPV &amp; Common Data'!T$36</f>
        <v>2043</v>
      </c>
      <c r="U741" s="245">
        <f>'Expected NPV &amp; Common Data'!U$36</f>
        <v>2044</v>
      </c>
      <c r="V741" s="245">
        <f>'Expected NPV &amp; Common Data'!V$36</f>
        <v>2045</v>
      </c>
      <c r="W741" s="245">
        <f>'Expected NPV &amp; Common Data'!W$36</f>
        <v>2046</v>
      </c>
      <c r="X741" s="245">
        <f>'Expected NPV &amp; Common Data'!X$36</f>
        <v>2047</v>
      </c>
      <c r="Y741" s="245">
        <f>'Expected NPV &amp; Common Data'!Y$36</f>
        <v>2048</v>
      </c>
      <c r="Z741" s="245">
        <f>'Expected NPV &amp; Common Data'!Z$36</f>
        <v>2049</v>
      </c>
      <c r="AA741" s="245">
        <f>'Expected NPV &amp; Common Data'!AA$36</f>
        <v>2050</v>
      </c>
      <c r="AB741" s="245">
        <f>'Expected NPV &amp; Common Data'!AB$36</f>
        <v>2051</v>
      </c>
      <c r="AC741" s="245">
        <f>'Expected NPV &amp; Common Data'!AC$36</f>
        <v>2052</v>
      </c>
      <c r="AD741" s="245">
        <f>'Expected NPV &amp; Common Data'!AD$36</f>
        <v>2053</v>
      </c>
    </row>
    <row r="742" spans="1:30" ht="38.5" customHeight="1">
      <c r="A742" s="249" t="s">
        <v>568</v>
      </c>
      <c r="B742" s="250"/>
      <c r="C742" s="251"/>
      <c r="D742" s="252"/>
      <c r="E742" s="13"/>
      <c r="F742" s="15"/>
      <c r="G742" s="15"/>
      <c r="H742" s="15"/>
      <c r="I742" s="15"/>
      <c r="J742" s="15"/>
      <c r="K742" s="15"/>
      <c r="L742" s="15"/>
      <c r="M742" s="15"/>
      <c r="N742" s="15"/>
      <c r="O742" s="15"/>
      <c r="P742" s="15"/>
      <c r="Q742" s="15"/>
      <c r="R742" s="15"/>
      <c r="S742" s="15"/>
      <c r="T742" s="15"/>
      <c r="U742" s="15"/>
      <c r="V742" s="15"/>
      <c r="W742" s="15"/>
      <c r="X742" s="15"/>
      <c r="Y742" s="15"/>
      <c r="Z742" s="15"/>
      <c r="AA742" s="15"/>
      <c r="AB742" s="15"/>
      <c r="AC742" s="15"/>
      <c r="AD742" s="15"/>
    </row>
    <row r="743" spans="1:30" ht="15.5">
      <c r="A743" s="97" t="s">
        <v>21</v>
      </c>
      <c r="D743" s="15"/>
      <c r="E743" s="15"/>
      <c r="F743" s="15"/>
      <c r="G743" s="15"/>
      <c r="H743" s="15"/>
      <c r="I743" s="15"/>
      <c r="J743" s="15"/>
      <c r="K743" s="15"/>
      <c r="L743" s="15"/>
      <c r="M743" s="15"/>
      <c r="N743" s="15"/>
      <c r="O743" s="15"/>
      <c r="P743" s="15"/>
      <c r="Q743" s="15"/>
      <c r="R743" s="15"/>
      <c r="S743" s="15"/>
      <c r="T743" s="15"/>
      <c r="U743" s="15"/>
      <c r="V743" s="15"/>
      <c r="W743" s="15"/>
      <c r="X743" s="15"/>
      <c r="Y743" s="15"/>
      <c r="Z743" s="15"/>
      <c r="AA743" s="15"/>
      <c r="AB743" s="15"/>
      <c r="AC743" s="15"/>
      <c r="AD743" s="15"/>
    </row>
    <row r="744" spans="1:30" s="73" customFormat="1">
      <c r="A744" s="72" t="str">
        <f>A311</f>
        <v>Cashstream 1: Revenue - Mid Case</v>
      </c>
      <c r="B744" s="73" t="str">
        <f>B311</f>
        <v>US$ millions Real</v>
      </c>
      <c r="C744" s="74">
        <f>SUM(D744:AD744)</f>
        <v>10182.679530681717</v>
      </c>
      <c r="D744" s="74">
        <f t="shared" ref="D744:AD744" si="443">D311</f>
        <v>0</v>
      </c>
      <c r="E744" s="74">
        <f t="shared" si="443"/>
        <v>0</v>
      </c>
      <c r="F744" s="74">
        <f t="shared" si="443"/>
        <v>387.36853747560053</v>
      </c>
      <c r="G744" s="74">
        <f t="shared" si="443"/>
        <v>733.66097237429506</v>
      </c>
      <c r="H744" s="74">
        <f t="shared" si="443"/>
        <v>812.56189180440163</v>
      </c>
      <c r="I744" s="74">
        <f t="shared" si="443"/>
        <v>817.12871556613288</v>
      </c>
      <c r="J744" s="74">
        <f t="shared" si="443"/>
        <v>843.54020675765105</v>
      </c>
      <c r="K744" s="74">
        <f t="shared" si="443"/>
        <v>743.12086141405541</v>
      </c>
      <c r="L744" s="74">
        <f t="shared" si="443"/>
        <v>676.19542569741645</v>
      </c>
      <c r="M744" s="74">
        <f t="shared" si="443"/>
        <v>661.76196457971105</v>
      </c>
      <c r="N744" s="74">
        <f t="shared" si="443"/>
        <v>660.93231414280922</v>
      </c>
      <c r="O744" s="74">
        <f t="shared" si="443"/>
        <v>660.93231414280922</v>
      </c>
      <c r="P744" s="74">
        <f t="shared" si="443"/>
        <v>684.95585315162589</v>
      </c>
      <c r="Q744" s="74">
        <f t="shared" si="443"/>
        <v>582.18017789409009</v>
      </c>
      <c r="R744" s="74">
        <f t="shared" si="443"/>
        <v>569.34659479605068</v>
      </c>
      <c r="S744" s="74">
        <f t="shared" si="443"/>
        <v>569.03879192796012</v>
      </c>
      <c r="T744" s="74">
        <f t="shared" si="443"/>
        <v>779.95490895710657</v>
      </c>
      <c r="U744" s="74">
        <f t="shared" si="443"/>
        <v>0</v>
      </c>
      <c r="V744" s="74">
        <f t="shared" si="443"/>
        <v>0</v>
      </c>
      <c r="W744" s="74">
        <f t="shared" si="443"/>
        <v>0</v>
      </c>
      <c r="X744" s="74">
        <f t="shared" si="443"/>
        <v>0</v>
      </c>
      <c r="Y744" s="74">
        <f t="shared" si="443"/>
        <v>0</v>
      </c>
      <c r="Z744" s="74">
        <f t="shared" si="443"/>
        <v>0</v>
      </c>
      <c r="AA744" s="74">
        <f t="shared" si="443"/>
        <v>0</v>
      </c>
      <c r="AB744" s="74">
        <f t="shared" si="443"/>
        <v>0</v>
      </c>
      <c r="AC744" s="74">
        <f t="shared" si="443"/>
        <v>0</v>
      </c>
      <c r="AD744" s="74">
        <f t="shared" si="443"/>
        <v>0</v>
      </c>
    </row>
    <row r="745" spans="1:30" s="73" customFormat="1">
      <c r="A745" s="72" t="str">
        <f>A359</f>
        <v>Cashstream 2: Capital Costs - Mid Case</v>
      </c>
      <c r="B745" s="73" t="str">
        <f>B359</f>
        <v>US$ millions Real</v>
      </c>
      <c r="C745" s="74">
        <f>SUM(D745:AD745)</f>
        <v>1315.0800000000006</v>
      </c>
      <c r="D745" s="74">
        <f t="shared" ref="D745:AD745" si="444">D359</f>
        <v>276.25</v>
      </c>
      <c r="E745" s="74">
        <f t="shared" si="444"/>
        <v>477.75</v>
      </c>
      <c r="F745" s="74">
        <f t="shared" si="444"/>
        <v>75.451999999999998</v>
      </c>
      <c r="G745" s="74">
        <f t="shared" si="444"/>
        <v>31.902000000000001</v>
      </c>
      <c r="H745" s="74">
        <f t="shared" si="444"/>
        <v>31.902000000000001</v>
      </c>
      <c r="I745" s="74">
        <f t="shared" si="444"/>
        <v>48.152000000000001</v>
      </c>
      <c r="J745" s="74">
        <f t="shared" si="444"/>
        <v>31.902000000000001</v>
      </c>
      <c r="K745" s="74">
        <f t="shared" si="444"/>
        <v>31.902000000000001</v>
      </c>
      <c r="L745" s="74">
        <f t="shared" si="444"/>
        <v>31.902000000000001</v>
      </c>
      <c r="M745" s="74">
        <f t="shared" si="444"/>
        <v>44.902000000000001</v>
      </c>
      <c r="N745" s="74">
        <f t="shared" si="444"/>
        <v>31.902000000000001</v>
      </c>
      <c r="O745" s="74">
        <f t="shared" si="444"/>
        <v>31.902000000000001</v>
      </c>
      <c r="P745" s="74">
        <f t="shared" si="444"/>
        <v>31.902000000000001</v>
      </c>
      <c r="Q745" s="74">
        <f t="shared" si="444"/>
        <v>41.652000000000001</v>
      </c>
      <c r="R745" s="74">
        <f t="shared" si="444"/>
        <v>31.902000000000001</v>
      </c>
      <c r="S745" s="74">
        <f t="shared" si="444"/>
        <v>31.902000000000001</v>
      </c>
      <c r="T745" s="74">
        <f t="shared" si="444"/>
        <v>31.902000000000001</v>
      </c>
      <c r="U745" s="74">
        <f t="shared" si="444"/>
        <v>0</v>
      </c>
      <c r="V745" s="74">
        <f t="shared" si="444"/>
        <v>0</v>
      </c>
      <c r="W745" s="74">
        <f t="shared" si="444"/>
        <v>0</v>
      </c>
      <c r="X745" s="74">
        <f t="shared" si="444"/>
        <v>0</v>
      </c>
      <c r="Y745" s="74">
        <f t="shared" si="444"/>
        <v>0</v>
      </c>
      <c r="Z745" s="74">
        <f t="shared" si="444"/>
        <v>0</v>
      </c>
      <c r="AA745" s="74">
        <f t="shared" si="444"/>
        <v>0</v>
      </c>
      <c r="AB745" s="74">
        <f t="shared" si="444"/>
        <v>0</v>
      </c>
      <c r="AC745" s="74">
        <f t="shared" si="444"/>
        <v>0</v>
      </c>
      <c r="AD745" s="74">
        <f t="shared" si="444"/>
        <v>0</v>
      </c>
    </row>
    <row r="746" spans="1:30" s="73" customFormat="1">
      <c r="A746" s="72" t="str">
        <f>A649</f>
        <v>Cashstream 3: Operating Costs - Mid Case</v>
      </c>
      <c r="B746" s="73" t="str">
        <f>B649</f>
        <v>US$ millions Real</v>
      </c>
      <c r="C746" s="74">
        <f>SUM(D746:AD746)</f>
        <v>6290.7891427734094</v>
      </c>
      <c r="D746" s="74">
        <f t="shared" ref="D746:AD746" si="445">D649</f>
        <v>2.4699999999999998</v>
      </c>
      <c r="E746" s="74">
        <f t="shared" si="445"/>
        <v>137.73500000000001</v>
      </c>
      <c r="F746" s="74">
        <f t="shared" si="445"/>
        <v>282.372555483871</v>
      </c>
      <c r="G746" s="74">
        <f t="shared" si="445"/>
        <v>323.09552780031584</v>
      </c>
      <c r="H746" s="74">
        <f t="shared" si="445"/>
        <v>413.65656403417398</v>
      </c>
      <c r="I746" s="74">
        <f t="shared" si="445"/>
        <v>415.92908778399755</v>
      </c>
      <c r="J746" s="74">
        <f t="shared" si="445"/>
        <v>480.37113850550668</v>
      </c>
      <c r="K746" s="74">
        <f t="shared" si="445"/>
        <v>457.43240063366727</v>
      </c>
      <c r="L746" s="74">
        <f t="shared" si="445"/>
        <v>461.2797972823202</v>
      </c>
      <c r="M746" s="74">
        <f t="shared" si="445"/>
        <v>464.52446145625186</v>
      </c>
      <c r="N746" s="74">
        <f t="shared" si="445"/>
        <v>467.76969500792745</v>
      </c>
      <c r="O746" s="74">
        <f t="shared" si="445"/>
        <v>471.01553089511975</v>
      </c>
      <c r="P746" s="74">
        <f t="shared" si="445"/>
        <v>457.8923683133583</v>
      </c>
      <c r="Q746" s="74">
        <f t="shared" si="445"/>
        <v>360.56785936849758</v>
      </c>
      <c r="R746" s="74">
        <f t="shared" si="445"/>
        <v>362.94732049197239</v>
      </c>
      <c r="S746" s="74">
        <f t="shared" si="445"/>
        <v>322.44717113058391</v>
      </c>
      <c r="T746" s="74">
        <f t="shared" si="445"/>
        <v>409.28266458584551</v>
      </c>
      <c r="U746" s="74">
        <f t="shared" si="445"/>
        <v>0</v>
      </c>
      <c r="V746" s="74">
        <f t="shared" si="445"/>
        <v>0</v>
      </c>
      <c r="W746" s="74">
        <f t="shared" si="445"/>
        <v>0</v>
      </c>
      <c r="X746" s="74">
        <f t="shared" si="445"/>
        <v>0</v>
      </c>
      <c r="Y746" s="74">
        <f t="shared" si="445"/>
        <v>0</v>
      </c>
      <c r="Z746" s="74">
        <f t="shared" si="445"/>
        <v>0</v>
      </c>
      <c r="AA746" s="74">
        <f t="shared" si="445"/>
        <v>0</v>
      </c>
      <c r="AB746" s="74">
        <f t="shared" si="445"/>
        <v>0</v>
      </c>
      <c r="AC746" s="74">
        <f t="shared" si="445"/>
        <v>0</v>
      </c>
      <c r="AD746" s="74">
        <f t="shared" si="445"/>
        <v>0</v>
      </c>
    </row>
    <row r="747" spans="1:30" s="73" customFormat="1">
      <c r="A747" s="72" t="str">
        <f>A739</f>
        <v>Cashstream 4: Taxes - Mid Case</v>
      </c>
      <c r="B747" s="73" t="str">
        <f>B739</f>
        <v>US$ millions Real</v>
      </c>
      <c r="C747" s="74">
        <f>SUM(D747:AD747)</f>
        <v>1260.8277457468032</v>
      </c>
      <c r="D747" s="74">
        <f t="shared" ref="D747:AD747" si="446">D739</f>
        <v>0</v>
      </c>
      <c r="E747" s="74">
        <f t="shared" si="446"/>
        <v>0</v>
      </c>
      <c r="F747" s="74">
        <f t="shared" si="446"/>
        <v>32.176543564354382</v>
      </c>
      <c r="G747" s="74">
        <f t="shared" si="446"/>
        <v>57.840493702541224</v>
      </c>
      <c r="H747" s="74">
        <f t="shared" si="446"/>
        <v>95.350421911983048</v>
      </c>
      <c r="I747" s="74">
        <f t="shared" si="446"/>
        <v>124.24476638974502</v>
      </c>
      <c r="J747" s="74">
        <f t="shared" si="446"/>
        <v>121.90955532374035</v>
      </c>
      <c r="K747" s="74">
        <f t="shared" si="446"/>
        <v>97.354727988172087</v>
      </c>
      <c r="L747" s="74">
        <f t="shared" si="446"/>
        <v>80.341469497587482</v>
      </c>
      <c r="M747" s="74">
        <f t="shared" si="446"/>
        <v>77.489423941401583</v>
      </c>
      <c r="N747" s="74">
        <f t="shared" si="446"/>
        <v>77.732571323444319</v>
      </c>
      <c r="O747" s="74">
        <f t="shared" si="446"/>
        <v>77.651397279038306</v>
      </c>
      <c r="P747" s="74">
        <f t="shared" si="446"/>
        <v>89.0177810331367</v>
      </c>
      <c r="Q747" s="74">
        <f t="shared" si="446"/>
        <v>79.961609431326892</v>
      </c>
      <c r="R747" s="74">
        <f t="shared" si="446"/>
        <v>78.545159296634608</v>
      </c>
      <c r="S747" s="74">
        <f t="shared" si="446"/>
        <v>88.933124158477938</v>
      </c>
      <c r="T747" s="74">
        <f t="shared" si="446"/>
        <v>82.27870090521931</v>
      </c>
      <c r="U747" s="74">
        <f t="shared" si="446"/>
        <v>0</v>
      </c>
      <c r="V747" s="74">
        <f t="shared" si="446"/>
        <v>0</v>
      </c>
      <c r="W747" s="74">
        <f t="shared" si="446"/>
        <v>0</v>
      </c>
      <c r="X747" s="74">
        <f t="shared" si="446"/>
        <v>0</v>
      </c>
      <c r="Y747" s="74">
        <f t="shared" si="446"/>
        <v>0</v>
      </c>
      <c r="Z747" s="74">
        <f t="shared" si="446"/>
        <v>0</v>
      </c>
      <c r="AA747" s="74">
        <f t="shared" si="446"/>
        <v>0</v>
      </c>
      <c r="AB747" s="74">
        <f t="shared" si="446"/>
        <v>0</v>
      </c>
      <c r="AC747" s="74">
        <f t="shared" si="446"/>
        <v>0</v>
      </c>
      <c r="AD747" s="74">
        <f t="shared" si="446"/>
        <v>0</v>
      </c>
    </row>
    <row r="748" spans="1:30" s="25" customFormat="1" ht="37.25" customHeight="1" thickBot="1">
      <c r="A748" s="26" t="str">
        <f>"Cash Generation - "&amp;A3</f>
        <v>Cash Generation - Mid Case</v>
      </c>
      <c r="B748" s="32" t="s">
        <v>82</v>
      </c>
      <c r="C748" s="130">
        <f>SUM(D748:AD748)</f>
        <v>1315.9826421615026</v>
      </c>
      <c r="D748" s="131">
        <f t="shared" ref="D748:AD748" si="447">D744-D745-D746-D747</f>
        <v>-278.72000000000003</v>
      </c>
      <c r="E748" s="131">
        <f t="shared" si="447"/>
        <v>-615.48500000000001</v>
      </c>
      <c r="F748" s="131">
        <f t="shared" si="447"/>
        <v>-2.6325615726248444</v>
      </c>
      <c r="G748" s="131">
        <f t="shared" si="447"/>
        <v>320.82295087143797</v>
      </c>
      <c r="H748" s="131">
        <f t="shared" si="447"/>
        <v>271.65290585824454</v>
      </c>
      <c r="I748" s="131">
        <f t="shared" si="447"/>
        <v>228.80286139239027</v>
      </c>
      <c r="J748" s="131">
        <f t="shared" si="447"/>
        <v>209.35751292840399</v>
      </c>
      <c r="K748" s="131">
        <f t="shared" si="447"/>
        <v>156.431732792216</v>
      </c>
      <c r="L748" s="131">
        <f t="shared" si="447"/>
        <v>102.67215891750872</v>
      </c>
      <c r="M748" s="131">
        <f t="shared" si="447"/>
        <v>74.846079182057565</v>
      </c>
      <c r="N748" s="131">
        <f t="shared" si="447"/>
        <v>83.528047811437403</v>
      </c>
      <c r="O748" s="131">
        <f t="shared" si="447"/>
        <v>80.363385968651116</v>
      </c>
      <c r="P748" s="131">
        <f t="shared" si="447"/>
        <v>106.14370380513084</v>
      </c>
      <c r="Q748" s="131">
        <f t="shared" si="447"/>
        <v>99.998709094265578</v>
      </c>
      <c r="R748" s="131">
        <f t="shared" si="447"/>
        <v>95.952115007443638</v>
      </c>
      <c r="S748" s="131">
        <f t="shared" si="447"/>
        <v>125.75649663889823</v>
      </c>
      <c r="T748" s="131">
        <f t="shared" si="447"/>
        <v>256.49154346604172</v>
      </c>
      <c r="U748" s="131">
        <f t="shared" si="447"/>
        <v>0</v>
      </c>
      <c r="V748" s="131">
        <f t="shared" si="447"/>
        <v>0</v>
      </c>
      <c r="W748" s="131">
        <f t="shared" si="447"/>
        <v>0</v>
      </c>
      <c r="X748" s="131">
        <f t="shared" si="447"/>
        <v>0</v>
      </c>
      <c r="Y748" s="131">
        <f t="shared" si="447"/>
        <v>0</v>
      </c>
      <c r="Z748" s="131">
        <f t="shared" si="447"/>
        <v>0</v>
      </c>
      <c r="AA748" s="131">
        <f t="shared" si="447"/>
        <v>0</v>
      </c>
      <c r="AB748" s="131">
        <f t="shared" si="447"/>
        <v>0</v>
      </c>
      <c r="AC748" s="131">
        <f t="shared" si="447"/>
        <v>0</v>
      </c>
      <c r="AD748" s="131">
        <f t="shared" si="447"/>
        <v>0</v>
      </c>
    </row>
    <row r="749" spans="1:30" s="73" customFormat="1" ht="13.5" thickBot="1">
      <c r="A749" s="72" t="s">
        <v>541</v>
      </c>
      <c r="C749" s="74"/>
      <c r="D749" s="156">
        <f>D748</f>
        <v>-278.72000000000003</v>
      </c>
      <c r="E749" s="74">
        <f t="shared" ref="E749" si="448">D749+E748</f>
        <v>-894.20500000000004</v>
      </c>
      <c r="F749" s="74">
        <f t="shared" ref="F749" si="449">E749+F748</f>
        <v>-896.83756157262485</v>
      </c>
      <c r="G749" s="74">
        <f t="shared" ref="G749" si="450">F749+G748</f>
        <v>-576.01461070118694</v>
      </c>
      <c r="H749" s="74">
        <f t="shared" ref="H749" si="451">G749+H748</f>
        <v>-304.3617048429424</v>
      </c>
      <c r="I749" s="74">
        <f t="shared" ref="I749" si="452">H749+I748</f>
        <v>-75.558843450552132</v>
      </c>
      <c r="J749" s="74">
        <f t="shared" ref="J749" si="453">I749+J748</f>
        <v>133.79866947785186</v>
      </c>
      <c r="K749" s="74">
        <f t="shared" ref="K749" si="454">J749+K748</f>
        <v>290.23040227006788</v>
      </c>
      <c r="L749" s="74">
        <f t="shared" ref="L749" si="455">K749+L748</f>
        <v>392.90256118757662</v>
      </c>
      <c r="M749" s="74">
        <f t="shared" ref="M749" si="456">L749+M748</f>
        <v>467.74864036963419</v>
      </c>
      <c r="N749" s="74">
        <f t="shared" ref="N749" si="457">M749+N748</f>
        <v>551.27668818107156</v>
      </c>
      <c r="O749" s="74">
        <f t="shared" ref="O749" si="458">N749+O748</f>
        <v>631.64007414972264</v>
      </c>
      <c r="P749" s="74">
        <f t="shared" ref="P749" si="459">O749+P748</f>
        <v>737.78377795485346</v>
      </c>
      <c r="Q749" s="74">
        <f t="shared" ref="Q749" si="460">P749+Q748</f>
        <v>837.78248704911903</v>
      </c>
      <c r="R749" s="74">
        <f t="shared" ref="R749" si="461">Q749+R748</f>
        <v>933.73460205656261</v>
      </c>
      <c r="S749" s="74">
        <f t="shared" ref="S749" si="462">R749+S748</f>
        <v>1059.4910986954608</v>
      </c>
      <c r="T749" s="74">
        <f t="shared" ref="T749" si="463">S749+T748</f>
        <v>1315.9826421615026</v>
      </c>
      <c r="U749" s="74">
        <f t="shared" ref="U749" si="464">T749+U748</f>
        <v>1315.9826421615026</v>
      </c>
      <c r="V749" s="74">
        <f t="shared" ref="V749" si="465">U749+V748</f>
        <v>1315.9826421615026</v>
      </c>
      <c r="W749" s="74">
        <f t="shared" ref="W749" si="466">V749+W748</f>
        <v>1315.9826421615026</v>
      </c>
      <c r="X749" s="74">
        <f t="shared" ref="X749" si="467">W749+X748</f>
        <v>1315.9826421615026</v>
      </c>
      <c r="Y749" s="74">
        <f t="shared" ref="Y749" si="468">X749+Y748</f>
        <v>1315.9826421615026</v>
      </c>
      <c r="Z749" s="74">
        <f t="shared" ref="Z749" si="469">Y749+Z748</f>
        <v>1315.9826421615026</v>
      </c>
      <c r="AA749" s="74">
        <f t="shared" ref="AA749" si="470">Z749+AA748</f>
        <v>1315.9826421615026</v>
      </c>
      <c r="AB749" s="74">
        <f t="shared" ref="AB749" si="471">AA749+AB748</f>
        <v>1315.9826421615026</v>
      </c>
      <c r="AC749" s="74">
        <f t="shared" ref="AC749" si="472">AB749+AC748</f>
        <v>1315.9826421615026</v>
      </c>
      <c r="AD749" s="74">
        <f t="shared" ref="AD749" si="473">AC749+AD748</f>
        <v>1315.9826421615026</v>
      </c>
    </row>
    <row r="750" spans="1:30" s="45" customFormat="1" ht="18.5">
      <c r="A750" s="103"/>
      <c r="B750" s="96"/>
      <c r="C750" s="102"/>
      <c r="D750" s="102"/>
      <c r="E750" s="102"/>
      <c r="F750" s="102"/>
      <c r="G750" s="102"/>
      <c r="H750" s="102"/>
      <c r="I750" s="102"/>
      <c r="J750" s="102"/>
      <c r="K750" s="102"/>
      <c r="L750" s="102"/>
      <c r="M750" s="102"/>
      <c r="N750" s="102"/>
      <c r="O750" s="102"/>
      <c r="P750" s="102"/>
      <c r="Q750" s="102"/>
      <c r="R750" s="102"/>
      <c r="S750" s="102"/>
      <c r="T750" s="102"/>
      <c r="U750" s="102"/>
      <c r="V750" s="102"/>
      <c r="W750" s="102"/>
      <c r="X750" s="102"/>
      <c r="Y750" s="102"/>
      <c r="Z750" s="102"/>
      <c r="AA750" s="102"/>
      <c r="AB750" s="102"/>
      <c r="AC750" s="102"/>
      <c r="AD750" s="102"/>
    </row>
    <row r="751" spans="1:30" ht="16" thickBot="1">
      <c r="A751" s="97" t="s">
        <v>569</v>
      </c>
      <c r="D751" s="15"/>
      <c r="E751" s="15"/>
      <c r="F751" s="15"/>
      <c r="G751" s="15"/>
      <c r="H751" s="15"/>
      <c r="I751" s="15"/>
      <c r="J751" s="15"/>
      <c r="K751" s="15"/>
      <c r="L751" s="15"/>
      <c r="M751" s="15"/>
      <c r="N751" s="15"/>
      <c r="O751" s="15"/>
      <c r="P751" s="15"/>
      <c r="Q751" s="15"/>
      <c r="R751" s="15"/>
      <c r="S751" s="15"/>
      <c r="T751" s="15"/>
      <c r="U751" s="15"/>
      <c r="V751" s="15"/>
      <c r="W751" s="15"/>
      <c r="X751" s="15"/>
      <c r="Y751" s="15"/>
      <c r="Z751" s="15"/>
      <c r="AA751" s="15"/>
      <c r="AB751" s="15"/>
      <c r="AC751" s="15"/>
      <c r="AD751" s="15"/>
    </row>
    <row r="752" spans="1:30" s="45" customFormat="1" ht="21.5" thickBot="1">
      <c r="A752" s="59" t="str">
        <f>"IRR - "&amp;A3</f>
        <v>IRR - Mid Case</v>
      </c>
      <c r="B752" s="45" t="s">
        <v>25</v>
      </c>
      <c r="C752" s="157">
        <f>IRR(D748:AD748,10%)</f>
        <v>0.14966156582939294</v>
      </c>
      <c r="D752" s="44"/>
      <c r="E752" s="44"/>
      <c r="F752" s="44"/>
      <c r="G752" s="44"/>
      <c r="H752" s="44"/>
      <c r="I752" s="44"/>
      <c r="J752" s="44"/>
      <c r="K752" s="44"/>
      <c r="L752" s="44"/>
      <c r="M752" s="44"/>
      <c r="N752" s="44"/>
      <c r="O752" s="44"/>
      <c r="P752" s="44"/>
      <c r="Q752" s="44"/>
      <c r="R752" s="44"/>
      <c r="S752" s="44"/>
      <c r="T752" s="44"/>
      <c r="U752" s="44"/>
      <c r="V752" s="44"/>
      <c r="W752" s="44"/>
      <c r="X752" s="44"/>
      <c r="Y752" s="44"/>
      <c r="Z752" s="44"/>
      <c r="AA752" s="44"/>
      <c r="AB752" s="44"/>
      <c r="AC752" s="44"/>
      <c r="AD752" s="44"/>
    </row>
    <row r="753" spans="1:30" s="45" customFormat="1">
      <c r="A753" s="112"/>
      <c r="C753" s="110"/>
      <c r="D753" s="44"/>
      <c r="E753" s="44"/>
      <c r="F753" s="44"/>
      <c r="G753" s="44"/>
      <c r="H753" s="44"/>
      <c r="I753" s="44"/>
      <c r="J753" s="44"/>
      <c r="K753" s="44"/>
      <c r="L753" s="44"/>
      <c r="M753" s="44"/>
      <c r="N753" s="44"/>
      <c r="O753" s="44"/>
      <c r="P753" s="44"/>
      <c r="Q753" s="44"/>
      <c r="R753" s="44"/>
      <c r="S753" s="44"/>
      <c r="T753" s="44"/>
      <c r="U753" s="44"/>
      <c r="V753" s="44"/>
      <c r="W753" s="44"/>
      <c r="X753" s="44"/>
      <c r="Y753" s="44"/>
      <c r="Z753" s="44"/>
      <c r="AA753" s="44"/>
      <c r="AB753" s="44"/>
      <c r="AC753" s="44"/>
      <c r="AD753" s="44"/>
    </row>
    <row r="754" spans="1:30" ht="15.5">
      <c r="A754" s="97" t="s">
        <v>570</v>
      </c>
      <c r="D754" s="15"/>
      <c r="E754" s="15"/>
      <c r="F754" s="15"/>
      <c r="G754" s="15"/>
      <c r="H754" s="15"/>
      <c r="I754" s="15"/>
      <c r="J754" s="15"/>
      <c r="K754" s="15"/>
      <c r="L754" s="15"/>
      <c r="M754" s="15"/>
      <c r="N754" s="15"/>
      <c r="O754" s="15"/>
      <c r="P754" s="15"/>
      <c r="Q754" s="15"/>
      <c r="R754" s="15"/>
      <c r="S754" s="15"/>
      <c r="T754" s="15"/>
      <c r="U754" s="15"/>
      <c r="V754" s="15"/>
      <c r="W754" s="15"/>
      <c r="X754" s="15"/>
      <c r="Y754" s="15"/>
      <c r="Z754" s="15"/>
      <c r="AA754" s="15"/>
      <c r="AB754" s="15"/>
      <c r="AC754" s="15"/>
      <c r="AD754" s="15"/>
    </row>
    <row r="755" spans="1:30">
      <c r="A755" s="311" t="str">
        <f>'Expected NPV &amp; Common Data'!A$101</f>
        <v>Discount Rate for copper mining in host country</v>
      </c>
      <c r="B755" s="311" t="str">
        <f>'Expected NPV &amp; Common Data'!B$101</f>
        <v>% Real</v>
      </c>
      <c r="C755" s="312">
        <f>'Expected NPV &amp; Common Data'!C$101</f>
        <v>0</v>
      </c>
      <c r="D755" s="313">
        <f>'Expected NPV &amp; Common Data'!D$101</f>
        <v>0.08</v>
      </c>
      <c r="E755" s="313">
        <f>'Expected NPV &amp; Common Data'!E$101</f>
        <v>0.08</v>
      </c>
      <c r="F755" s="313">
        <f>'Expected NPV &amp; Common Data'!F$101</f>
        <v>0.08</v>
      </c>
      <c r="G755" s="313">
        <f>'Expected NPV &amp; Common Data'!G$101</f>
        <v>0.08</v>
      </c>
      <c r="H755" s="313">
        <f>'Expected NPV &amp; Common Data'!H$101</f>
        <v>0.08</v>
      </c>
      <c r="I755" s="313">
        <f>'Expected NPV &amp; Common Data'!I$101</f>
        <v>0.08</v>
      </c>
      <c r="J755" s="313">
        <f>'Expected NPV &amp; Common Data'!J$101</f>
        <v>0.08</v>
      </c>
      <c r="K755" s="313">
        <f>'Expected NPV &amp; Common Data'!K$101</f>
        <v>0.08</v>
      </c>
      <c r="L755" s="313">
        <f>'Expected NPV &amp; Common Data'!L$101</f>
        <v>0.08</v>
      </c>
      <c r="M755" s="313">
        <f>'Expected NPV &amp; Common Data'!M$101</f>
        <v>0.08</v>
      </c>
      <c r="N755" s="313">
        <f>'Expected NPV &amp; Common Data'!N$101</f>
        <v>0.08</v>
      </c>
      <c r="O755" s="313">
        <f>'Expected NPV &amp; Common Data'!O$101</f>
        <v>0.08</v>
      </c>
      <c r="P755" s="313">
        <f>'Expected NPV &amp; Common Data'!P$101</f>
        <v>0.08</v>
      </c>
      <c r="Q755" s="313">
        <f>'Expected NPV &amp; Common Data'!Q$101</f>
        <v>0.08</v>
      </c>
      <c r="R755" s="313">
        <f>'Expected NPV &amp; Common Data'!R$101</f>
        <v>0.08</v>
      </c>
      <c r="S755" s="313">
        <f>'Expected NPV &amp; Common Data'!S$101</f>
        <v>0.08</v>
      </c>
      <c r="T755" s="313">
        <f>'Expected NPV &amp; Common Data'!T$101</f>
        <v>0.08</v>
      </c>
      <c r="U755" s="313">
        <f>'Expected NPV &amp; Common Data'!U$101</f>
        <v>0.08</v>
      </c>
      <c r="V755" s="313">
        <f>'Expected NPV &amp; Common Data'!V$101</f>
        <v>0.08</v>
      </c>
      <c r="W755" s="313">
        <f>'Expected NPV &amp; Common Data'!W$101</f>
        <v>0.08</v>
      </c>
      <c r="X755" s="313">
        <f>'Expected NPV &amp; Common Data'!X$101</f>
        <v>0.08</v>
      </c>
      <c r="Y755" s="313">
        <f>'Expected NPV &amp; Common Data'!Y$101</f>
        <v>0</v>
      </c>
      <c r="Z755" s="313">
        <f>'Expected NPV &amp; Common Data'!Z$101</f>
        <v>0</v>
      </c>
      <c r="AA755" s="313">
        <f>'Expected NPV &amp; Common Data'!AA$101</f>
        <v>0</v>
      </c>
      <c r="AB755" s="313">
        <f>'Expected NPV &amp; Common Data'!AB$101</f>
        <v>0</v>
      </c>
      <c r="AC755" s="313">
        <f>'Expected NPV &amp; Common Data'!AC$101</f>
        <v>0</v>
      </c>
      <c r="AD755" s="313">
        <f>'Expected NPV &amp; Common Data'!AD$101</f>
        <v>0</v>
      </c>
    </row>
    <row r="756" spans="1:30">
      <c r="A756" s="311" t="str">
        <f>'Expected NPV &amp; Common Data'!A$102</f>
        <v>Discount Factor</v>
      </c>
      <c r="B756" s="247" t="str">
        <f>'Expected NPV &amp; Common Data'!B$102</f>
        <v>to Jan 2016</v>
      </c>
      <c r="C756" s="312">
        <f>'Expected NPV &amp; Common Data'!C$102</f>
        <v>0</v>
      </c>
      <c r="D756" s="314">
        <f>'Expected NPV &amp; Common Data'!D$102</f>
        <v>0.96225044864937614</v>
      </c>
      <c r="E756" s="314">
        <f>'Expected NPV &amp; Common Data'!E$102</f>
        <v>0.89097263763831114</v>
      </c>
      <c r="F756" s="314">
        <f>'Expected NPV &amp; Common Data'!F$102</f>
        <v>0.82497466447991763</v>
      </c>
      <c r="G756" s="314">
        <f>'Expected NPV &amp; Common Data'!G$102</f>
        <v>0.76386543007399776</v>
      </c>
      <c r="H756" s="314">
        <f>'Expected NPV &amp; Common Data'!H$102</f>
        <v>0.70728280562407198</v>
      </c>
      <c r="I756" s="314">
        <f>'Expected NPV &amp; Common Data'!I$102</f>
        <v>0.65489148668895547</v>
      </c>
      <c r="J756" s="314">
        <f>'Expected NPV &amp; Common Data'!J$102</f>
        <v>0.60638100619347723</v>
      </c>
      <c r="K756" s="314">
        <f>'Expected NPV &amp; Common Data'!K$102</f>
        <v>0.56146389462359003</v>
      </c>
      <c r="L756" s="314">
        <f>'Expected NPV &amp; Common Data'!L$102</f>
        <v>0.51987397650332412</v>
      </c>
      <c r="M756" s="314">
        <f>'Expected NPV &amp; Common Data'!M$102</f>
        <v>0.48136479305863339</v>
      </c>
      <c r="N756" s="314">
        <f>'Expected NPV &amp; Common Data'!N$102</f>
        <v>0.4457081417209568</v>
      </c>
      <c r="O756" s="314">
        <f>'Expected NPV &amp; Common Data'!O$102</f>
        <v>0.41269272381570071</v>
      </c>
      <c r="P756" s="314">
        <f>'Expected NPV &amp; Common Data'!P$102</f>
        <v>0.38212289242194508</v>
      </c>
      <c r="Q756" s="314">
        <f>'Expected NPV &amp; Common Data'!Q$102</f>
        <v>0.35381749298328247</v>
      </c>
      <c r="R756" s="314">
        <f>'Expected NPV &amp; Common Data'!R$102</f>
        <v>0.32760878979933561</v>
      </c>
      <c r="S756" s="314">
        <f>'Expected NPV &amp; Common Data'!S$102</f>
        <v>0.30334147203642187</v>
      </c>
      <c r="T756" s="314">
        <f>'Expected NPV &amp; Common Data'!T$102</f>
        <v>0.28087173336705729</v>
      </c>
      <c r="U756" s="314">
        <f>'Expected NPV &amp; Common Data'!U$102</f>
        <v>0.26006641978431227</v>
      </c>
      <c r="V756" s="314">
        <f>'Expected NPV &amp; Common Data'!V$102</f>
        <v>0.24080224054102986</v>
      </c>
      <c r="W756" s="314">
        <f>'Expected NPV &amp; Common Data'!W$102</f>
        <v>0.2229650375379906</v>
      </c>
      <c r="X756" s="314">
        <f>'Expected NPV &amp; Common Data'!X$102</f>
        <v>0.20644910883147277</v>
      </c>
      <c r="Y756" s="314">
        <f>'Expected NPV &amp; Common Data'!Y$102</f>
        <v>0</v>
      </c>
      <c r="Z756" s="314">
        <f>'Expected NPV &amp; Common Data'!Z$102</f>
        <v>0</v>
      </c>
      <c r="AA756" s="314">
        <f>'Expected NPV &amp; Common Data'!AA$102</f>
        <v>0</v>
      </c>
      <c r="AB756" s="314">
        <f>'Expected NPV &amp; Common Data'!AB$102</f>
        <v>0</v>
      </c>
      <c r="AC756" s="314">
        <f>'Expected NPV &amp; Common Data'!AC$102</f>
        <v>0</v>
      </c>
      <c r="AD756" s="314">
        <f>'Expected NPV &amp; Common Data'!AD$102</f>
        <v>0</v>
      </c>
    </row>
    <row r="757" spans="1:30" s="73" customFormat="1" ht="13.5" thickBot="1">
      <c r="A757" s="72" t="s">
        <v>136</v>
      </c>
      <c r="B757" s="73" t="s">
        <v>405</v>
      </c>
      <c r="C757" s="74">
        <f>SUM(D757:AD757)</f>
        <v>360.43643029504676</v>
      </c>
      <c r="D757" s="74">
        <f t="shared" ref="D757:AD757" si="474">D748*D756</f>
        <v>-268.19844504755417</v>
      </c>
      <c r="E757" s="74">
        <f t="shared" si="474"/>
        <v>-548.38029387681593</v>
      </c>
      <c r="F757" s="74">
        <f t="shared" si="474"/>
        <v>-2.1717966000989053</v>
      </c>
      <c r="G757" s="74">
        <f t="shared" si="474"/>
        <v>245.06556134502003</v>
      </c>
      <c r="H757" s="74">
        <f t="shared" si="474"/>
        <v>192.13542941135108</v>
      </c>
      <c r="I757" s="74">
        <f t="shared" si="474"/>
        <v>149.84104605594948</v>
      </c>
      <c r="J757" s="74">
        <f t="shared" si="474"/>
        <v>126.95041934368953</v>
      </c>
      <c r="K757" s="74">
        <f t="shared" si="474"/>
        <v>87.830769936234361</v>
      </c>
      <c r="L757" s="74">
        <f t="shared" si="474"/>
        <v>53.376583532626491</v>
      </c>
      <c r="M757" s="74">
        <f t="shared" si="474"/>
        <v>36.028267416721228</v>
      </c>
      <c r="N757" s="74">
        <f t="shared" si="474"/>
        <v>37.229130971615</v>
      </c>
      <c r="O757" s="74">
        <f t="shared" si="474"/>
        <v>33.165384650455096</v>
      </c>
      <c r="P757" s="74">
        <f t="shared" si="474"/>
        <v>40.559939110394815</v>
      </c>
      <c r="Q757" s="74">
        <f t="shared" si="474"/>
        <v>35.381292553297612</v>
      </c>
      <c r="R757" s="74">
        <f t="shared" si="474"/>
        <v>31.43475627627528</v>
      </c>
      <c r="S757" s="74">
        <f t="shared" si="474"/>
        <v>38.147160808586726</v>
      </c>
      <c r="T757" s="74">
        <f t="shared" si="474"/>
        <v>72.041224407299055</v>
      </c>
      <c r="U757" s="74">
        <f t="shared" si="474"/>
        <v>0</v>
      </c>
      <c r="V757" s="74">
        <f t="shared" si="474"/>
        <v>0</v>
      </c>
      <c r="W757" s="74">
        <f t="shared" si="474"/>
        <v>0</v>
      </c>
      <c r="X757" s="74">
        <f t="shared" si="474"/>
        <v>0</v>
      </c>
      <c r="Y757" s="74">
        <f t="shared" si="474"/>
        <v>0</v>
      </c>
      <c r="Z757" s="74">
        <f t="shared" si="474"/>
        <v>0</v>
      </c>
      <c r="AA757" s="74">
        <f t="shared" si="474"/>
        <v>0</v>
      </c>
      <c r="AB757" s="74">
        <f t="shared" si="474"/>
        <v>0</v>
      </c>
      <c r="AC757" s="74">
        <f t="shared" si="474"/>
        <v>0</v>
      </c>
      <c r="AD757" s="74">
        <f t="shared" si="474"/>
        <v>0</v>
      </c>
    </row>
    <row r="758" spans="1:30" s="73" customFormat="1" ht="13.5" thickBot="1">
      <c r="A758" s="72" t="s">
        <v>137</v>
      </c>
      <c r="B758" s="73" t="s">
        <v>405</v>
      </c>
      <c r="C758" s="74"/>
      <c r="D758" s="156">
        <f>D757</f>
        <v>-268.19844504755417</v>
      </c>
      <c r="E758" s="74">
        <f t="shared" ref="E758:AD758" si="475">D758+E757</f>
        <v>-816.5787389243701</v>
      </c>
      <c r="F758" s="74">
        <f t="shared" si="475"/>
        <v>-818.750535524469</v>
      </c>
      <c r="G758" s="74">
        <f t="shared" si="475"/>
        <v>-573.684974179449</v>
      </c>
      <c r="H758" s="74">
        <f t="shared" si="475"/>
        <v>-381.54954476809792</v>
      </c>
      <c r="I758" s="74">
        <f t="shared" si="475"/>
        <v>-231.70849871214844</v>
      </c>
      <c r="J758" s="74">
        <f t="shared" si="475"/>
        <v>-104.75807936845891</v>
      </c>
      <c r="K758" s="74">
        <f t="shared" si="475"/>
        <v>-16.927309432224547</v>
      </c>
      <c r="L758" s="74">
        <f t="shared" si="475"/>
        <v>36.449274100401944</v>
      </c>
      <c r="M758" s="74">
        <f t="shared" si="475"/>
        <v>72.477541517123171</v>
      </c>
      <c r="N758" s="74">
        <f t="shared" si="475"/>
        <v>109.70667248873818</v>
      </c>
      <c r="O758" s="74">
        <f t="shared" si="475"/>
        <v>142.87205713919326</v>
      </c>
      <c r="P758" s="74">
        <f t="shared" si="475"/>
        <v>183.43199624958808</v>
      </c>
      <c r="Q758" s="74">
        <f t="shared" si="475"/>
        <v>218.81328880288569</v>
      </c>
      <c r="R758" s="74">
        <f t="shared" si="475"/>
        <v>250.24804507916099</v>
      </c>
      <c r="S758" s="74">
        <f t="shared" si="475"/>
        <v>288.39520588774769</v>
      </c>
      <c r="T758" s="74">
        <f t="shared" si="475"/>
        <v>360.43643029504676</v>
      </c>
      <c r="U758" s="74">
        <f t="shared" si="475"/>
        <v>360.43643029504676</v>
      </c>
      <c r="V758" s="74">
        <f t="shared" si="475"/>
        <v>360.43643029504676</v>
      </c>
      <c r="W758" s="74">
        <f t="shared" si="475"/>
        <v>360.43643029504676</v>
      </c>
      <c r="X758" s="74">
        <f t="shared" si="475"/>
        <v>360.43643029504676</v>
      </c>
      <c r="Y758" s="74">
        <f t="shared" si="475"/>
        <v>360.43643029504676</v>
      </c>
      <c r="Z758" s="74">
        <f t="shared" si="475"/>
        <v>360.43643029504676</v>
      </c>
      <c r="AA758" s="74">
        <f t="shared" si="475"/>
        <v>360.43643029504676</v>
      </c>
      <c r="AB758" s="74">
        <f t="shared" si="475"/>
        <v>360.43643029504676</v>
      </c>
      <c r="AC758" s="74">
        <f t="shared" si="475"/>
        <v>360.43643029504676</v>
      </c>
      <c r="AD758" s="74">
        <f t="shared" si="475"/>
        <v>360.43643029504676</v>
      </c>
    </row>
    <row r="759" spans="1:30" s="73" customFormat="1" ht="21.5" thickBot="1">
      <c r="A759" s="72" t="str">
        <f>"NPV - "&amp;A3</f>
        <v>NPV - Mid Case</v>
      </c>
      <c r="B759" s="73" t="s">
        <v>405</v>
      </c>
      <c r="C759" s="84">
        <f>SUM(D757:AD757)</f>
        <v>360.43643029504676</v>
      </c>
      <c r="D759" s="74"/>
      <c r="E759" s="74"/>
      <c r="F759" s="74"/>
      <c r="G759" s="74"/>
      <c r="H759" s="74"/>
      <c r="I759" s="74"/>
      <c r="J759" s="74"/>
      <c r="K759" s="74"/>
      <c r="L759" s="74"/>
      <c r="M759" s="74"/>
      <c r="N759" s="74"/>
      <c r="O759" s="74"/>
      <c r="P759" s="74"/>
      <c r="Q759" s="74"/>
      <c r="R759" s="74"/>
      <c r="S759" s="74"/>
      <c r="T759" s="74"/>
      <c r="U759" s="74"/>
      <c r="V759" s="74"/>
      <c r="W759" s="74"/>
      <c r="X759" s="74"/>
      <c r="Y759" s="74"/>
      <c r="Z759" s="74"/>
      <c r="AA759" s="74"/>
      <c r="AB759" s="74"/>
      <c r="AC759" s="74"/>
      <c r="AD759" s="74"/>
    </row>
    <row r="760" spans="1:30" s="73" customFormat="1">
      <c r="A760" s="112"/>
      <c r="C760" s="111"/>
      <c r="D760" s="111"/>
      <c r="E760" s="111"/>
      <c r="F760" s="111"/>
      <c r="G760" s="111"/>
      <c r="H760" s="111"/>
      <c r="I760" s="111"/>
      <c r="J760" s="111"/>
      <c r="K760" s="111"/>
      <c r="L760" s="111"/>
      <c r="M760" s="111"/>
      <c r="N760" s="111"/>
      <c r="O760" s="111"/>
      <c r="P760" s="111"/>
      <c r="Q760" s="111"/>
      <c r="R760" s="111"/>
      <c r="S760" s="111"/>
      <c r="T760" s="111"/>
      <c r="U760" s="111"/>
      <c r="V760" s="111"/>
      <c r="W760" s="111"/>
      <c r="X760" s="111"/>
      <c r="Y760" s="111"/>
      <c r="Z760" s="111"/>
      <c r="AA760" s="111"/>
      <c r="AB760" s="111"/>
      <c r="AC760" s="111"/>
      <c r="AD760" s="111"/>
    </row>
    <row r="761" spans="1:30" ht="14" customHeight="1">
      <c r="A761" s="282" t="s">
        <v>601</v>
      </c>
    </row>
    <row r="762" spans="1:30" ht="114" customHeight="1"/>
    <row r="763" spans="1:30" ht="45" customHeight="1">
      <c r="A763" s="23" t="s">
        <v>18</v>
      </c>
    </row>
    <row r="764" spans="1:30">
      <c r="A764" s="315" t="str">
        <f>'Expected NPV &amp; Common Data'!A$36</f>
        <v>Calendar Year --&gt;</v>
      </c>
      <c r="B764" s="316" t="str">
        <f>'Expected NPV &amp; Common Data'!B$36</f>
        <v>units</v>
      </c>
      <c r="C764" s="317" t="str">
        <f>'Expected NPV &amp; Common Data'!C$36</f>
        <v>Total</v>
      </c>
      <c r="D764" s="318">
        <f>'Expected NPV &amp; Common Data'!D$36</f>
        <v>2027</v>
      </c>
      <c r="E764" s="318">
        <f>'Expected NPV &amp; Common Data'!E$36</f>
        <v>2028</v>
      </c>
      <c r="F764" s="318">
        <f>'Expected NPV &amp; Common Data'!F$36</f>
        <v>2029</v>
      </c>
      <c r="G764" s="318">
        <f>'Expected NPV &amp; Common Data'!G$36</f>
        <v>2030</v>
      </c>
      <c r="H764" s="318">
        <f>'Expected NPV &amp; Common Data'!H$36</f>
        <v>2031</v>
      </c>
      <c r="I764" s="318">
        <f>'Expected NPV &amp; Common Data'!I$36</f>
        <v>2032</v>
      </c>
      <c r="J764" s="318">
        <f>'Expected NPV &amp; Common Data'!J$36</f>
        <v>2033</v>
      </c>
      <c r="K764" s="318">
        <f>'Expected NPV &amp; Common Data'!K$36</f>
        <v>2034</v>
      </c>
      <c r="L764" s="318">
        <f>'Expected NPV &amp; Common Data'!L$36</f>
        <v>2035</v>
      </c>
      <c r="M764" s="318">
        <f>'Expected NPV &amp; Common Data'!M$36</f>
        <v>2036</v>
      </c>
      <c r="N764" s="318">
        <f>'Expected NPV &amp; Common Data'!N$36</f>
        <v>2037</v>
      </c>
      <c r="O764" s="318">
        <f>'Expected NPV &amp; Common Data'!O$36</f>
        <v>2038</v>
      </c>
      <c r="P764" s="318">
        <f>'Expected NPV &amp; Common Data'!P$36</f>
        <v>2039</v>
      </c>
      <c r="Q764" s="318">
        <f>'Expected NPV &amp; Common Data'!Q$36</f>
        <v>2040</v>
      </c>
      <c r="R764" s="318">
        <f>'Expected NPV &amp; Common Data'!R$36</f>
        <v>2041</v>
      </c>
      <c r="S764" s="318">
        <f>'Expected NPV &amp; Common Data'!S$36</f>
        <v>2042</v>
      </c>
      <c r="T764" s="318">
        <f>'Expected NPV &amp; Common Data'!T$36</f>
        <v>2043</v>
      </c>
      <c r="U764" s="318">
        <f>'Expected NPV &amp; Common Data'!U$36</f>
        <v>2044</v>
      </c>
      <c r="V764" s="318">
        <f>'Expected NPV &amp; Common Data'!V$36</f>
        <v>2045</v>
      </c>
      <c r="W764" s="318">
        <f>'Expected NPV &amp; Common Data'!W$36</f>
        <v>2046</v>
      </c>
      <c r="X764" s="318">
        <f>'Expected NPV &amp; Common Data'!X$36</f>
        <v>2047</v>
      </c>
      <c r="Y764" s="318">
        <f>'Expected NPV &amp; Common Data'!Y$36</f>
        <v>2048</v>
      </c>
      <c r="Z764" s="318">
        <f>'Expected NPV &amp; Common Data'!Z$36</f>
        <v>2049</v>
      </c>
      <c r="AA764" s="318">
        <f>'Expected NPV &amp; Common Data'!AA$36</f>
        <v>2050</v>
      </c>
      <c r="AB764" s="318">
        <f>'Expected NPV &amp; Common Data'!AB$36</f>
        <v>2051</v>
      </c>
      <c r="AC764" s="318">
        <f>'Expected NPV &amp; Common Data'!AC$36</f>
        <v>2052</v>
      </c>
      <c r="AD764" s="318">
        <f>'Expected NPV &amp; Common Data'!AD$36</f>
        <v>2053</v>
      </c>
    </row>
    <row r="765" spans="1:30">
      <c r="A765" s="45" t="str">
        <f>A311</f>
        <v>Cashstream 1: Revenue - Mid Case</v>
      </c>
      <c r="D765" s="75">
        <f t="shared" ref="D765:AD765" si="476">D311</f>
        <v>0</v>
      </c>
      <c r="E765" s="75">
        <f t="shared" si="476"/>
        <v>0</v>
      </c>
      <c r="F765" s="75">
        <f t="shared" si="476"/>
        <v>387.36853747560053</v>
      </c>
      <c r="G765" s="75">
        <f t="shared" si="476"/>
        <v>733.66097237429506</v>
      </c>
      <c r="H765" s="75">
        <f t="shared" si="476"/>
        <v>812.56189180440163</v>
      </c>
      <c r="I765" s="75">
        <f t="shared" si="476"/>
        <v>817.12871556613288</v>
      </c>
      <c r="J765" s="75">
        <f t="shared" si="476"/>
        <v>843.54020675765105</v>
      </c>
      <c r="K765" s="75">
        <f t="shared" si="476"/>
        <v>743.12086141405541</v>
      </c>
      <c r="L765" s="75">
        <f t="shared" si="476"/>
        <v>676.19542569741645</v>
      </c>
      <c r="M765" s="75">
        <f t="shared" si="476"/>
        <v>661.76196457971105</v>
      </c>
      <c r="N765" s="75">
        <f t="shared" si="476"/>
        <v>660.93231414280922</v>
      </c>
      <c r="O765" s="75">
        <f t="shared" si="476"/>
        <v>660.93231414280922</v>
      </c>
      <c r="P765" s="75">
        <f t="shared" si="476"/>
        <v>684.95585315162589</v>
      </c>
      <c r="Q765" s="75">
        <f t="shared" si="476"/>
        <v>582.18017789409009</v>
      </c>
      <c r="R765" s="75">
        <f t="shared" si="476"/>
        <v>569.34659479605068</v>
      </c>
      <c r="S765" s="75">
        <f t="shared" si="476"/>
        <v>569.03879192796012</v>
      </c>
      <c r="T765" s="75">
        <f t="shared" si="476"/>
        <v>779.95490895710657</v>
      </c>
      <c r="U765" s="75">
        <f t="shared" si="476"/>
        <v>0</v>
      </c>
      <c r="V765" s="75">
        <f t="shared" si="476"/>
        <v>0</v>
      </c>
      <c r="W765" s="75">
        <f t="shared" si="476"/>
        <v>0</v>
      </c>
      <c r="X765" s="75">
        <f t="shared" si="476"/>
        <v>0</v>
      </c>
      <c r="Y765" s="75">
        <f t="shared" si="476"/>
        <v>0</v>
      </c>
      <c r="Z765" s="75">
        <f t="shared" si="476"/>
        <v>0</v>
      </c>
      <c r="AA765" s="75">
        <f t="shared" si="476"/>
        <v>0</v>
      </c>
      <c r="AB765" s="75">
        <f t="shared" si="476"/>
        <v>0</v>
      </c>
      <c r="AC765" s="75">
        <f t="shared" si="476"/>
        <v>0</v>
      </c>
      <c r="AD765" s="75">
        <f t="shared" si="476"/>
        <v>0</v>
      </c>
    </row>
    <row r="766" spans="1:30">
      <c r="A766" s="45" t="str">
        <f>A359</f>
        <v>Cashstream 2: Capital Costs - Mid Case</v>
      </c>
      <c r="D766" s="75">
        <f t="shared" ref="D766:AD766" si="477">-D359</f>
        <v>-276.25</v>
      </c>
      <c r="E766" s="75">
        <f t="shared" si="477"/>
        <v>-477.75</v>
      </c>
      <c r="F766" s="75">
        <f t="shared" si="477"/>
        <v>-75.451999999999998</v>
      </c>
      <c r="G766" s="75">
        <f t="shared" si="477"/>
        <v>-31.902000000000001</v>
      </c>
      <c r="H766" s="75">
        <f t="shared" si="477"/>
        <v>-31.902000000000001</v>
      </c>
      <c r="I766" s="75">
        <f t="shared" si="477"/>
        <v>-48.152000000000001</v>
      </c>
      <c r="J766" s="75">
        <f t="shared" si="477"/>
        <v>-31.902000000000001</v>
      </c>
      <c r="K766" s="75">
        <f t="shared" si="477"/>
        <v>-31.902000000000001</v>
      </c>
      <c r="L766" s="75">
        <f t="shared" si="477"/>
        <v>-31.902000000000001</v>
      </c>
      <c r="M766" s="75">
        <f t="shared" si="477"/>
        <v>-44.902000000000001</v>
      </c>
      <c r="N766" s="75">
        <f t="shared" si="477"/>
        <v>-31.902000000000001</v>
      </c>
      <c r="O766" s="75">
        <f t="shared" si="477"/>
        <v>-31.902000000000001</v>
      </c>
      <c r="P766" s="75">
        <f t="shared" si="477"/>
        <v>-31.902000000000001</v>
      </c>
      <c r="Q766" s="75">
        <f t="shared" si="477"/>
        <v>-41.652000000000001</v>
      </c>
      <c r="R766" s="75">
        <f t="shared" si="477"/>
        <v>-31.902000000000001</v>
      </c>
      <c r="S766" s="75">
        <f t="shared" si="477"/>
        <v>-31.902000000000001</v>
      </c>
      <c r="T766" s="75">
        <f t="shared" si="477"/>
        <v>-31.902000000000001</v>
      </c>
      <c r="U766" s="75">
        <f t="shared" si="477"/>
        <v>0</v>
      </c>
      <c r="V766" s="75">
        <f t="shared" si="477"/>
        <v>0</v>
      </c>
      <c r="W766" s="75">
        <f t="shared" si="477"/>
        <v>0</v>
      </c>
      <c r="X766" s="75">
        <f t="shared" si="477"/>
        <v>0</v>
      </c>
      <c r="Y766" s="75">
        <f t="shared" si="477"/>
        <v>0</v>
      </c>
      <c r="Z766" s="75">
        <f t="shared" si="477"/>
        <v>0</v>
      </c>
      <c r="AA766" s="75">
        <f t="shared" si="477"/>
        <v>0</v>
      </c>
      <c r="AB766" s="75">
        <f t="shared" si="477"/>
        <v>0</v>
      </c>
      <c r="AC766" s="75">
        <f t="shared" si="477"/>
        <v>0</v>
      </c>
      <c r="AD766" s="75">
        <f t="shared" si="477"/>
        <v>0</v>
      </c>
    </row>
    <row r="767" spans="1:30">
      <c r="A767" s="45" t="str">
        <f>A649</f>
        <v>Cashstream 3: Operating Costs - Mid Case</v>
      </c>
      <c r="C767" s="75">
        <f>SUM(D767:AD767)</f>
        <v>-6290.7891427734094</v>
      </c>
      <c r="D767" s="75">
        <f t="shared" ref="D767:AD767" si="478">-D649</f>
        <v>-2.4699999999999998</v>
      </c>
      <c r="E767" s="75">
        <f t="shared" si="478"/>
        <v>-137.73500000000001</v>
      </c>
      <c r="F767" s="75">
        <f t="shared" si="478"/>
        <v>-282.372555483871</v>
      </c>
      <c r="G767" s="75">
        <f t="shared" si="478"/>
        <v>-323.09552780031584</v>
      </c>
      <c r="H767" s="75">
        <f t="shared" si="478"/>
        <v>-413.65656403417398</v>
      </c>
      <c r="I767" s="75">
        <f t="shared" si="478"/>
        <v>-415.92908778399755</v>
      </c>
      <c r="J767" s="75">
        <f t="shared" si="478"/>
        <v>-480.37113850550668</v>
      </c>
      <c r="K767" s="75">
        <f t="shared" si="478"/>
        <v>-457.43240063366727</v>
      </c>
      <c r="L767" s="75">
        <f t="shared" si="478"/>
        <v>-461.2797972823202</v>
      </c>
      <c r="M767" s="75">
        <f t="shared" si="478"/>
        <v>-464.52446145625186</v>
      </c>
      <c r="N767" s="75">
        <f t="shared" si="478"/>
        <v>-467.76969500792745</v>
      </c>
      <c r="O767" s="75">
        <f t="shared" si="478"/>
        <v>-471.01553089511975</v>
      </c>
      <c r="P767" s="75">
        <f t="shared" si="478"/>
        <v>-457.8923683133583</v>
      </c>
      <c r="Q767" s="75">
        <f t="shared" si="478"/>
        <v>-360.56785936849758</v>
      </c>
      <c r="R767" s="75">
        <f t="shared" si="478"/>
        <v>-362.94732049197239</v>
      </c>
      <c r="S767" s="75">
        <f t="shared" si="478"/>
        <v>-322.44717113058391</v>
      </c>
      <c r="T767" s="75">
        <f t="shared" si="478"/>
        <v>-409.28266458584551</v>
      </c>
      <c r="U767" s="75">
        <f t="shared" si="478"/>
        <v>0</v>
      </c>
      <c r="V767" s="75">
        <f t="shared" si="478"/>
        <v>0</v>
      </c>
      <c r="W767" s="75">
        <f t="shared" si="478"/>
        <v>0</v>
      </c>
      <c r="X767" s="75">
        <f t="shared" si="478"/>
        <v>0</v>
      </c>
      <c r="Y767" s="75">
        <f t="shared" si="478"/>
        <v>0</v>
      </c>
      <c r="Z767" s="75">
        <f t="shared" si="478"/>
        <v>0</v>
      </c>
      <c r="AA767" s="75">
        <f t="shared" si="478"/>
        <v>0</v>
      </c>
      <c r="AB767" s="75">
        <f t="shared" si="478"/>
        <v>0</v>
      </c>
      <c r="AC767" s="75">
        <f t="shared" si="478"/>
        <v>0</v>
      </c>
      <c r="AD767" s="75">
        <f t="shared" si="478"/>
        <v>0</v>
      </c>
    </row>
    <row r="768" spans="1:30">
      <c r="A768" s="45" t="str">
        <f>A739</f>
        <v>Cashstream 4: Taxes - Mid Case</v>
      </c>
      <c r="D768" s="75">
        <f t="shared" ref="D768:AD768" si="479">-D739</f>
        <v>0</v>
      </c>
      <c r="E768" s="75">
        <f t="shared" si="479"/>
        <v>0</v>
      </c>
      <c r="F768" s="75">
        <f t="shared" si="479"/>
        <v>-32.176543564354382</v>
      </c>
      <c r="G768" s="75">
        <f t="shared" si="479"/>
        <v>-57.840493702541224</v>
      </c>
      <c r="H768" s="75">
        <f t="shared" si="479"/>
        <v>-95.350421911983048</v>
      </c>
      <c r="I768" s="75">
        <f t="shared" si="479"/>
        <v>-124.24476638974502</v>
      </c>
      <c r="J768" s="75">
        <f t="shared" si="479"/>
        <v>-121.90955532374035</v>
      </c>
      <c r="K768" s="75">
        <f t="shared" si="479"/>
        <v>-97.354727988172087</v>
      </c>
      <c r="L768" s="75">
        <f t="shared" si="479"/>
        <v>-80.341469497587482</v>
      </c>
      <c r="M768" s="75">
        <f t="shared" si="479"/>
        <v>-77.489423941401583</v>
      </c>
      <c r="N768" s="75">
        <f t="shared" si="479"/>
        <v>-77.732571323444319</v>
      </c>
      <c r="O768" s="75">
        <f t="shared" si="479"/>
        <v>-77.651397279038306</v>
      </c>
      <c r="P768" s="75">
        <f t="shared" si="479"/>
        <v>-89.0177810331367</v>
      </c>
      <c r="Q768" s="75">
        <f t="shared" si="479"/>
        <v>-79.961609431326892</v>
      </c>
      <c r="R768" s="75">
        <f t="shared" si="479"/>
        <v>-78.545159296634608</v>
      </c>
      <c r="S768" s="75">
        <f t="shared" si="479"/>
        <v>-88.933124158477938</v>
      </c>
      <c r="T768" s="75">
        <f t="shared" si="479"/>
        <v>-82.27870090521931</v>
      </c>
      <c r="U768" s="75">
        <f t="shared" si="479"/>
        <v>0</v>
      </c>
      <c r="V768" s="75">
        <f t="shared" si="479"/>
        <v>0</v>
      </c>
      <c r="W768" s="75">
        <f t="shared" si="479"/>
        <v>0</v>
      </c>
      <c r="X768" s="75">
        <f t="shared" si="479"/>
        <v>0</v>
      </c>
      <c r="Y768" s="75">
        <f t="shared" si="479"/>
        <v>0</v>
      </c>
      <c r="Z768" s="75">
        <f t="shared" si="479"/>
        <v>0</v>
      </c>
      <c r="AA768" s="75">
        <f t="shared" si="479"/>
        <v>0</v>
      </c>
      <c r="AB768" s="75">
        <f t="shared" si="479"/>
        <v>0</v>
      </c>
      <c r="AC768" s="75">
        <f t="shared" si="479"/>
        <v>0</v>
      </c>
      <c r="AD768" s="75">
        <f t="shared" si="479"/>
        <v>0</v>
      </c>
    </row>
    <row r="769" spans="1:30">
      <c r="A769" s="13" t="s">
        <v>19</v>
      </c>
      <c r="D769" s="75">
        <f t="shared" ref="D769:AD769" si="480">IF(SUM(D765:D768)&gt;0,SUM(D765:D768),0)</f>
        <v>0</v>
      </c>
      <c r="E769" s="75">
        <f t="shared" si="480"/>
        <v>0</v>
      </c>
      <c r="F769" s="75">
        <f t="shared" si="480"/>
        <v>0</v>
      </c>
      <c r="G769" s="75">
        <f t="shared" si="480"/>
        <v>320.82295087143797</v>
      </c>
      <c r="H769" s="75">
        <f t="shared" si="480"/>
        <v>271.65290585824454</v>
      </c>
      <c r="I769" s="75">
        <f t="shared" si="480"/>
        <v>228.80286139239027</v>
      </c>
      <c r="J769" s="75">
        <f t="shared" si="480"/>
        <v>209.35751292840399</v>
      </c>
      <c r="K769" s="75">
        <f t="shared" si="480"/>
        <v>156.431732792216</v>
      </c>
      <c r="L769" s="75">
        <f t="shared" si="480"/>
        <v>102.67215891750872</v>
      </c>
      <c r="M769" s="75">
        <f t="shared" si="480"/>
        <v>74.846079182057565</v>
      </c>
      <c r="N769" s="75">
        <f t="shared" si="480"/>
        <v>83.528047811437403</v>
      </c>
      <c r="O769" s="75">
        <f t="shared" si="480"/>
        <v>80.363385968651116</v>
      </c>
      <c r="P769" s="75">
        <f t="shared" si="480"/>
        <v>106.14370380513084</v>
      </c>
      <c r="Q769" s="75">
        <f t="shared" si="480"/>
        <v>99.998709094265578</v>
      </c>
      <c r="R769" s="75">
        <f t="shared" si="480"/>
        <v>95.952115007443638</v>
      </c>
      <c r="S769" s="75">
        <f t="shared" si="480"/>
        <v>125.75649663889823</v>
      </c>
      <c r="T769" s="75">
        <f t="shared" si="480"/>
        <v>256.49154346604172</v>
      </c>
      <c r="U769" s="75">
        <f t="shared" si="480"/>
        <v>0</v>
      </c>
      <c r="V769" s="75">
        <f t="shared" si="480"/>
        <v>0</v>
      </c>
      <c r="W769" s="75">
        <f t="shared" si="480"/>
        <v>0</v>
      </c>
      <c r="X769" s="75">
        <f t="shared" si="480"/>
        <v>0</v>
      </c>
      <c r="Y769" s="75">
        <f t="shared" si="480"/>
        <v>0</v>
      </c>
      <c r="Z769" s="75">
        <f t="shared" si="480"/>
        <v>0</v>
      </c>
      <c r="AA769" s="75">
        <f t="shared" si="480"/>
        <v>0</v>
      </c>
      <c r="AB769" s="75">
        <f t="shared" si="480"/>
        <v>0</v>
      </c>
      <c r="AC769" s="75">
        <f t="shared" si="480"/>
        <v>0</v>
      </c>
      <c r="AD769" s="75">
        <f t="shared" si="480"/>
        <v>0</v>
      </c>
    </row>
    <row r="770" spans="1:30">
      <c r="A770" s="13" t="s">
        <v>20</v>
      </c>
      <c r="D770" s="75">
        <f t="shared" ref="D770:AD770" si="481">IF(SUM(D765:D768)&lt;0,-SUM(D765:D768),0)</f>
        <v>278.72000000000003</v>
      </c>
      <c r="E770" s="75">
        <f t="shared" si="481"/>
        <v>615.48500000000001</v>
      </c>
      <c r="F770" s="75">
        <f t="shared" si="481"/>
        <v>2.6325615726248444</v>
      </c>
      <c r="G770" s="75">
        <f t="shared" si="481"/>
        <v>0</v>
      </c>
      <c r="H770" s="75">
        <f t="shared" si="481"/>
        <v>0</v>
      </c>
      <c r="I770" s="75">
        <f t="shared" si="481"/>
        <v>0</v>
      </c>
      <c r="J770" s="75">
        <f t="shared" si="481"/>
        <v>0</v>
      </c>
      <c r="K770" s="75">
        <f t="shared" si="481"/>
        <v>0</v>
      </c>
      <c r="L770" s="75">
        <f t="shared" si="481"/>
        <v>0</v>
      </c>
      <c r="M770" s="75">
        <f t="shared" si="481"/>
        <v>0</v>
      </c>
      <c r="N770" s="75">
        <f t="shared" si="481"/>
        <v>0</v>
      </c>
      <c r="O770" s="75">
        <f t="shared" si="481"/>
        <v>0</v>
      </c>
      <c r="P770" s="75">
        <f t="shared" si="481"/>
        <v>0</v>
      </c>
      <c r="Q770" s="75">
        <f t="shared" si="481"/>
        <v>0</v>
      </c>
      <c r="R770" s="75">
        <f t="shared" si="481"/>
        <v>0</v>
      </c>
      <c r="S770" s="75">
        <f t="shared" si="481"/>
        <v>0</v>
      </c>
      <c r="T770" s="75">
        <f t="shared" si="481"/>
        <v>0</v>
      </c>
      <c r="U770" s="75">
        <f t="shared" si="481"/>
        <v>0</v>
      </c>
      <c r="V770" s="75">
        <f t="shared" si="481"/>
        <v>0</v>
      </c>
      <c r="W770" s="75">
        <f t="shared" si="481"/>
        <v>0</v>
      </c>
      <c r="X770" s="75">
        <f t="shared" si="481"/>
        <v>0</v>
      </c>
      <c r="Y770" s="75">
        <f t="shared" si="481"/>
        <v>0</v>
      </c>
      <c r="Z770" s="75">
        <f t="shared" si="481"/>
        <v>0</v>
      </c>
      <c r="AA770" s="75">
        <f t="shared" si="481"/>
        <v>0</v>
      </c>
      <c r="AB770" s="75">
        <f t="shared" si="481"/>
        <v>0</v>
      </c>
      <c r="AC770" s="75">
        <f t="shared" si="481"/>
        <v>0</v>
      </c>
      <c r="AD770" s="75">
        <f t="shared" si="481"/>
        <v>0</v>
      </c>
    </row>
    <row r="771" spans="1:30">
      <c r="A771" s="13" t="s">
        <v>22</v>
      </c>
      <c r="D771" s="75">
        <f t="shared" ref="D771:AD771" si="482">D769-D770</f>
        <v>-278.72000000000003</v>
      </c>
      <c r="E771" s="75">
        <f t="shared" si="482"/>
        <v>-615.48500000000001</v>
      </c>
      <c r="F771" s="75">
        <f t="shared" si="482"/>
        <v>-2.6325615726248444</v>
      </c>
      <c r="G771" s="75">
        <f t="shared" si="482"/>
        <v>320.82295087143797</v>
      </c>
      <c r="H771" s="75">
        <f t="shared" si="482"/>
        <v>271.65290585824454</v>
      </c>
      <c r="I771" s="75">
        <f t="shared" si="482"/>
        <v>228.80286139239027</v>
      </c>
      <c r="J771" s="75">
        <f t="shared" si="482"/>
        <v>209.35751292840399</v>
      </c>
      <c r="K771" s="75">
        <f t="shared" si="482"/>
        <v>156.431732792216</v>
      </c>
      <c r="L771" s="75">
        <f t="shared" si="482"/>
        <v>102.67215891750872</v>
      </c>
      <c r="M771" s="75">
        <f t="shared" si="482"/>
        <v>74.846079182057565</v>
      </c>
      <c r="N771" s="75">
        <f t="shared" si="482"/>
        <v>83.528047811437403</v>
      </c>
      <c r="O771" s="75">
        <f t="shared" si="482"/>
        <v>80.363385968651116</v>
      </c>
      <c r="P771" s="75">
        <f t="shared" si="482"/>
        <v>106.14370380513084</v>
      </c>
      <c r="Q771" s="75">
        <f t="shared" si="482"/>
        <v>99.998709094265578</v>
      </c>
      <c r="R771" s="75">
        <f t="shared" si="482"/>
        <v>95.952115007443638</v>
      </c>
      <c r="S771" s="75">
        <f t="shared" si="482"/>
        <v>125.75649663889823</v>
      </c>
      <c r="T771" s="75">
        <f t="shared" si="482"/>
        <v>256.49154346604172</v>
      </c>
      <c r="U771" s="75">
        <f t="shared" si="482"/>
        <v>0</v>
      </c>
      <c r="V771" s="75">
        <f t="shared" si="482"/>
        <v>0</v>
      </c>
      <c r="W771" s="75">
        <f t="shared" si="482"/>
        <v>0</v>
      </c>
      <c r="X771" s="75">
        <f t="shared" si="482"/>
        <v>0</v>
      </c>
      <c r="Y771" s="75">
        <f t="shared" si="482"/>
        <v>0</v>
      </c>
      <c r="Z771" s="75">
        <f t="shared" si="482"/>
        <v>0</v>
      </c>
      <c r="AA771" s="75">
        <f t="shared" si="482"/>
        <v>0</v>
      </c>
      <c r="AB771" s="75">
        <f t="shared" si="482"/>
        <v>0</v>
      </c>
      <c r="AC771" s="75">
        <f t="shared" si="482"/>
        <v>0</v>
      </c>
      <c r="AD771" s="75">
        <f t="shared" si="482"/>
        <v>0</v>
      </c>
    </row>
    <row r="772" spans="1:30">
      <c r="A772" s="76"/>
      <c r="B772" s="76"/>
      <c r="C772" s="77"/>
      <c r="D772" s="78"/>
      <c r="E772" s="78"/>
      <c r="F772" s="77"/>
      <c r="G772" s="77"/>
      <c r="H772" s="77"/>
      <c r="I772" s="77"/>
      <c r="J772" s="77"/>
      <c r="K772" s="77"/>
      <c r="L772" s="77"/>
      <c r="M772" s="77"/>
      <c r="N772" s="77"/>
      <c r="O772" s="77"/>
      <c r="P772" s="77"/>
      <c r="Q772" s="77"/>
      <c r="R772" s="77"/>
      <c r="S772" s="77"/>
      <c r="T772" s="77"/>
      <c r="U772" s="77"/>
      <c r="V772" s="77"/>
      <c r="W772" s="77"/>
      <c r="X772" s="77"/>
      <c r="Y772" s="77"/>
      <c r="Z772" s="77"/>
      <c r="AA772" s="77"/>
      <c r="AB772" s="77"/>
      <c r="AC772" s="77"/>
      <c r="AD772" s="77"/>
    </row>
  </sheetData>
  <pageMargins left="0.70866141732283472" right="0.70866141732283472" top="0.74803149606299213" bottom="0.74803149606299213" header="0.31496062992125984" footer="0.31496062992125984"/>
  <pageSetup paperSize="9" scale="23"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09DE1-766E-4469-8BAA-9F7551E33506}">
  <sheetPr>
    <pageSetUpPr fitToPage="1"/>
  </sheetPr>
  <dimension ref="A1:AD772"/>
  <sheetViews>
    <sheetView zoomScaleNormal="100" workbookViewId="0">
      <pane xSplit="24380" topLeftCell="AC1"/>
      <selection activeCell="C3" sqref="C3"/>
      <selection pane="topRight" activeCell="AD646" sqref="AD646"/>
    </sheetView>
  </sheetViews>
  <sheetFormatPr defaultColWidth="8.90625" defaultRowHeight="13" outlineLevelRow="1"/>
  <cols>
    <col min="1" max="1" width="41.54296875" style="13" customWidth="1"/>
    <col min="2" max="2" width="18.36328125" style="13" customWidth="1"/>
    <col min="3" max="3" width="22.1796875" style="15" customWidth="1"/>
    <col min="4" max="10" width="12.54296875" style="38" customWidth="1"/>
    <col min="11" max="11" width="12.6328125" style="38" customWidth="1"/>
    <col min="12" max="12" width="12.54296875" style="38" customWidth="1"/>
    <col min="13" max="13" width="7.36328125" style="38" customWidth="1"/>
    <col min="14" max="30" width="12.54296875" style="38" customWidth="1"/>
    <col min="31" max="16384" width="8.90625" style="13"/>
  </cols>
  <sheetData>
    <row r="1" spans="1:13" s="195" customFormat="1" ht="30.75" customHeight="1">
      <c r="A1" s="194" t="str">
        <f>'Intro &amp; log of testing'!A1</f>
        <v>Worked Example - Long &amp; Detailed Business Evaluation - www.economicevaluation.com.au</v>
      </c>
      <c r="B1" s="194"/>
      <c r="C1" s="194"/>
      <c r="D1" s="194"/>
    </row>
    <row r="2" spans="1:13" s="100" customFormat="1" ht="21" customHeight="1">
      <c r="A2" s="196" t="s">
        <v>514</v>
      </c>
    </row>
    <row r="3" spans="1:13" s="122" customFormat="1" ht="37" customHeight="1">
      <c r="A3" s="228" t="s">
        <v>426</v>
      </c>
    </row>
    <row r="4" spans="1:13" s="21" customFormat="1" ht="48" customHeight="1">
      <c r="A4" s="21" t="s">
        <v>542</v>
      </c>
    </row>
    <row r="5" spans="1:13" s="100" customFormat="1" ht="15.5">
      <c r="A5" s="1" t="s">
        <v>7</v>
      </c>
      <c r="B5" s="117"/>
      <c r="C5" s="40"/>
      <c r="D5" s="85"/>
      <c r="E5" s="85"/>
      <c r="F5" s="85"/>
      <c r="G5" s="85"/>
      <c r="H5" s="85"/>
      <c r="I5" s="85"/>
      <c r="J5" s="85"/>
      <c r="K5" s="85"/>
      <c r="L5" s="85"/>
      <c r="M5" s="85"/>
    </row>
    <row r="6" spans="1:13" s="8" customFormat="1" ht="15.5">
      <c r="A6" s="134" t="str">
        <f>A139</f>
        <v xml:space="preserve">ore - aggregate  </v>
      </c>
      <c r="B6" s="134" t="str">
        <f t="shared" ref="B6:C6" si="0">B139</f>
        <v>millions dry tonnes</v>
      </c>
      <c r="C6" s="227">
        <f t="shared" si="0"/>
        <v>103</v>
      </c>
      <c r="D6" s="3"/>
      <c r="E6" s="3"/>
      <c r="F6" s="3"/>
      <c r="G6" s="3"/>
      <c r="H6" s="3"/>
      <c r="I6" s="3"/>
      <c r="J6" s="3"/>
      <c r="K6" s="3"/>
      <c r="L6" s="3"/>
      <c r="M6" s="3"/>
    </row>
    <row r="7" spans="1:13" s="100" customFormat="1" ht="15.5">
      <c r="A7" s="239" t="str">
        <f>A156</f>
        <v xml:space="preserve">feed grade - copper </v>
      </c>
      <c r="B7" s="239" t="str">
        <f t="shared" ref="B7:C7" si="1">B156</f>
        <v>% Cu</v>
      </c>
      <c r="C7" s="323">
        <f t="shared" si="1"/>
        <v>8.4038834951456302E-3</v>
      </c>
      <c r="D7" s="85"/>
      <c r="E7" s="85"/>
      <c r="F7" s="85"/>
      <c r="G7" s="85"/>
      <c r="H7" s="85"/>
      <c r="I7" s="85"/>
      <c r="J7" s="85"/>
      <c r="K7" s="85"/>
      <c r="L7" s="85"/>
      <c r="M7" s="85"/>
    </row>
    <row r="8" spans="1:13" s="100" customFormat="1" ht="15.5">
      <c r="A8" s="117" t="str">
        <f>A162</f>
        <v>Recovery - copper</v>
      </c>
      <c r="B8" s="117" t="str">
        <f t="shared" ref="B8:C8" si="2">B162</f>
        <v>% Cu</v>
      </c>
      <c r="C8" s="229">
        <f t="shared" si="2"/>
        <v>0.84000000000000008</v>
      </c>
      <c r="D8" s="85"/>
      <c r="E8" s="85"/>
      <c r="F8" s="85"/>
      <c r="G8" s="85"/>
      <c r="H8" s="85"/>
      <c r="I8" s="85"/>
      <c r="J8" s="85"/>
      <c r="K8" s="85"/>
      <c r="L8" s="85"/>
      <c r="M8" s="85"/>
    </row>
    <row r="9" spans="1:13" s="100" customFormat="1" ht="15.5">
      <c r="A9" s="117" t="str">
        <f>A170</f>
        <v>copper conc - contained copper - Low Case</v>
      </c>
      <c r="B9" s="117" t="str">
        <f t="shared" ref="B9:C9" si="3">B170</f>
        <v>000 tonnes Cu</v>
      </c>
      <c r="C9" s="125">
        <f t="shared" si="3"/>
        <v>727.10399999999981</v>
      </c>
      <c r="D9" s="85"/>
      <c r="E9" s="85"/>
      <c r="F9" s="85"/>
      <c r="G9" s="85"/>
      <c r="H9" s="85"/>
      <c r="I9" s="85"/>
      <c r="J9" s="85"/>
      <c r="K9" s="85"/>
      <c r="L9" s="85"/>
      <c r="M9" s="85"/>
    </row>
    <row r="10" spans="1:13" s="100" customFormat="1" ht="15.5">
      <c r="A10" s="1" t="s">
        <v>537</v>
      </c>
      <c r="B10" s="117"/>
      <c r="C10" s="40"/>
      <c r="D10" s="85"/>
      <c r="E10" s="85"/>
      <c r="F10" s="85"/>
      <c r="G10" s="85"/>
      <c r="H10" s="85"/>
      <c r="I10" s="85"/>
      <c r="J10" s="85"/>
      <c r="K10" s="85"/>
      <c r="L10" s="85"/>
      <c r="M10" s="85"/>
    </row>
    <row r="11" spans="1:13" s="8" customFormat="1" ht="15.5">
      <c r="A11" s="117" t="str">
        <f>A346</f>
        <v>Initial capex - Low Case</v>
      </c>
      <c r="B11" s="13" t="str">
        <f t="shared" ref="B11:C11" si="4">B346</f>
        <v>A$ million Real</v>
      </c>
      <c r="C11" s="40">
        <f t="shared" si="4"/>
        <v>1397</v>
      </c>
      <c r="D11" s="3"/>
      <c r="E11" s="3"/>
      <c r="F11" s="3"/>
      <c r="G11" s="3"/>
      <c r="H11" s="3"/>
      <c r="I11" s="3"/>
      <c r="J11" s="3"/>
      <c r="K11" s="3"/>
      <c r="L11" s="3"/>
      <c r="M11" s="3"/>
    </row>
    <row r="12" spans="1:13" s="100" customFormat="1" ht="15.5">
      <c r="A12" s="117" t="str">
        <f>A655</f>
        <v>Opex plus Royalty less Credits - Low Case</v>
      </c>
      <c r="B12" s="117" t="str">
        <f t="shared" ref="B12:C12" si="5">B655</f>
        <v>US$/lb copper</v>
      </c>
      <c r="C12" s="240">
        <f t="shared" si="5"/>
        <v>2.674250891120193</v>
      </c>
      <c r="D12" s="85"/>
      <c r="E12" s="85"/>
      <c r="F12" s="85"/>
      <c r="G12" s="85"/>
      <c r="H12" s="85"/>
      <c r="I12" s="85"/>
      <c r="J12" s="85"/>
      <c r="K12" s="85"/>
      <c r="L12" s="85"/>
      <c r="M12" s="85"/>
    </row>
    <row r="13" spans="1:13" s="100" customFormat="1" ht="15.5">
      <c r="A13" s="1" t="s">
        <v>538</v>
      </c>
      <c r="B13" s="117"/>
      <c r="C13" s="40"/>
      <c r="D13" s="85"/>
      <c r="E13" s="85"/>
      <c r="F13" s="85"/>
      <c r="G13" s="85"/>
      <c r="H13" s="85"/>
      <c r="I13" s="85"/>
      <c r="J13" s="85"/>
      <c r="K13" s="85"/>
      <c r="L13" s="85"/>
      <c r="M13" s="85"/>
    </row>
    <row r="14" spans="1:13" s="32" customFormat="1">
      <c r="A14" s="230" t="str">
        <f>A744</f>
        <v>Cashstream 1: Revenue - Low Case</v>
      </c>
      <c r="B14" s="231" t="str">
        <f t="shared" ref="B14:C14" si="6">B744</f>
        <v>US$ millions Real</v>
      </c>
      <c r="C14" s="40">
        <f t="shared" si="6"/>
        <v>6648.7303561530016</v>
      </c>
      <c r="D14" s="30"/>
      <c r="E14" s="30"/>
      <c r="F14" s="30"/>
      <c r="G14" s="30"/>
      <c r="H14" s="30"/>
      <c r="I14" s="30"/>
      <c r="J14" s="30"/>
      <c r="K14" s="30"/>
      <c r="L14" s="30"/>
      <c r="M14" s="30"/>
    </row>
    <row r="15" spans="1:13" s="32" customFormat="1">
      <c r="A15" s="230" t="str">
        <f t="shared" ref="A15:C18" si="7">A745</f>
        <v>Cashstream 2: Capital Costs - Low Case</v>
      </c>
      <c r="B15" s="231" t="str">
        <f t="shared" si="7"/>
        <v>US$ millions Real</v>
      </c>
      <c r="C15" s="40">
        <f t="shared" si="7"/>
        <v>1377.1200000000001</v>
      </c>
      <c r="D15" s="30"/>
      <c r="E15" s="30"/>
      <c r="F15" s="30"/>
      <c r="G15" s="30"/>
      <c r="H15" s="30"/>
      <c r="I15" s="30"/>
      <c r="J15" s="30"/>
      <c r="K15" s="30"/>
      <c r="L15" s="30"/>
      <c r="M15" s="30"/>
    </row>
    <row r="16" spans="1:13" s="32" customFormat="1">
      <c r="A16" s="230" t="str">
        <f t="shared" si="7"/>
        <v>Cashstream 3: Operating Costs - Low Case</v>
      </c>
      <c r="B16" s="231" t="str">
        <f t="shared" si="7"/>
        <v>US$ millions Real</v>
      </c>
      <c r="C16" s="40">
        <f t="shared" si="7"/>
        <v>5426.5194164788827</v>
      </c>
      <c r="D16" s="30"/>
      <c r="E16" s="30"/>
      <c r="F16" s="30"/>
      <c r="G16" s="30"/>
      <c r="H16" s="30"/>
      <c r="I16" s="30"/>
      <c r="J16" s="30"/>
      <c r="K16" s="30"/>
      <c r="L16" s="30"/>
      <c r="M16" s="30"/>
    </row>
    <row r="17" spans="1:30" s="32" customFormat="1">
      <c r="A17" s="230" t="str">
        <f t="shared" si="7"/>
        <v>Cashstream 4: Taxes - Low Case</v>
      </c>
      <c r="B17" s="231" t="str">
        <f t="shared" si="7"/>
        <v>US$ millions Real</v>
      </c>
      <c r="C17" s="40">
        <f t="shared" si="7"/>
        <v>475.98272277646873</v>
      </c>
      <c r="D17" s="30"/>
      <c r="E17" s="30"/>
      <c r="F17" s="30"/>
      <c r="G17" s="30"/>
      <c r="H17" s="30"/>
      <c r="I17" s="30"/>
      <c r="J17" s="30"/>
      <c r="K17" s="30"/>
      <c r="L17" s="30"/>
      <c r="M17" s="30"/>
    </row>
    <row r="18" spans="1:30" s="32" customFormat="1">
      <c r="A18" s="241" t="str">
        <f t="shared" si="7"/>
        <v>Cash Generation - Low Case</v>
      </c>
      <c r="B18" s="231" t="str">
        <f t="shared" si="7"/>
        <v>US$ millions Real</v>
      </c>
      <c r="C18" s="138">
        <f t="shared" si="7"/>
        <v>-630.89178310235059</v>
      </c>
      <c r="D18" s="30"/>
      <c r="E18" s="30"/>
      <c r="F18" s="30"/>
      <c r="G18" s="30"/>
      <c r="H18" s="30"/>
      <c r="I18" s="30"/>
      <c r="J18" s="30"/>
      <c r="K18" s="30"/>
      <c r="L18" s="30"/>
      <c r="M18" s="30"/>
    </row>
    <row r="19" spans="1:30" s="100" customFormat="1" ht="15.5">
      <c r="A19" s="1" t="s">
        <v>540</v>
      </c>
      <c r="B19" s="113"/>
      <c r="C19" s="232"/>
      <c r="D19" s="85"/>
      <c r="E19" s="85"/>
      <c r="F19" s="85"/>
      <c r="G19" s="85"/>
      <c r="H19" s="85"/>
      <c r="I19" s="85"/>
      <c r="J19" s="85"/>
      <c r="K19" s="85"/>
      <c r="L19" s="85"/>
      <c r="M19" s="85"/>
    </row>
    <row r="20" spans="1:30" s="236" customFormat="1" ht="15.5">
      <c r="A20" s="124" t="str">
        <f>A759</f>
        <v>NPV - Low Case</v>
      </c>
      <c r="B20" s="231" t="str">
        <f>B759</f>
        <v>US$ million</v>
      </c>
      <c r="C20" s="232">
        <f>C759</f>
        <v>-658.07543821085255</v>
      </c>
      <c r="D20" s="235"/>
      <c r="E20" s="235"/>
      <c r="F20" s="235"/>
      <c r="G20" s="235"/>
      <c r="H20" s="235"/>
      <c r="I20" s="235"/>
      <c r="J20" s="235"/>
      <c r="K20" s="235"/>
      <c r="L20" s="235"/>
      <c r="M20" s="235"/>
    </row>
    <row r="21" spans="1:30" s="100" customFormat="1" ht="15.5">
      <c r="A21" s="163" t="str">
        <f>A752</f>
        <v>IRR - Low Case</v>
      </c>
      <c r="B21" s="231" t="str">
        <f>B752</f>
        <v>% Real</v>
      </c>
      <c r="C21" s="238">
        <f>C752</f>
        <v>-0.13339043027251685</v>
      </c>
      <c r="D21" s="85"/>
      <c r="E21" s="85"/>
      <c r="F21" s="85"/>
      <c r="G21" s="85"/>
      <c r="H21" s="85"/>
      <c r="I21" s="85"/>
      <c r="J21" s="85"/>
      <c r="K21" s="85"/>
      <c r="L21" s="85"/>
      <c r="M21" s="85"/>
    </row>
    <row r="22" spans="1:30" s="236" customFormat="1" ht="15.5">
      <c r="A22" s="233"/>
      <c r="B22" s="237"/>
      <c r="C22" s="234"/>
      <c r="D22" s="235"/>
      <c r="E22" s="235"/>
      <c r="F22" s="85"/>
      <c r="G22" s="235"/>
      <c r="H22" s="235"/>
      <c r="I22" s="235"/>
      <c r="J22" s="235"/>
      <c r="K22" s="235"/>
      <c r="L22" s="235"/>
      <c r="M22" s="235"/>
    </row>
    <row r="23" spans="1:30" s="100" customFormat="1" ht="32.5" customHeight="1">
      <c r="A23" s="21" t="s">
        <v>539</v>
      </c>
      <c r="C23" s="6"/>
      <c r="D23" s="85"/>
      <c r="E23" s="85"/>
      <c r="G23" s="85"/>
      <c r="H23" s="85"/>
      <c r="I23" s="85"/>
      <c r="J23" s="85"/>
      <c r="K23" s="85"/>
      <c r="L23" s="85"/>
      <c r="M23" s="85"/>
    </row>
    <row r="24" spans="1:30" s="32" customFormat="1">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row>
    <row r="25" spans="1:30" s="35" customFormat="1">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row>
    <row r="26" spans="1:30" s="35" customFormat="1">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row>
    <row r="27" spans="1:30" s="35" customFormat="1" ht="15.5">
      <c r="A27" s="127"/>
      <c r="B27" s="85"/>
      <c r="C27" s="132"/>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row>
    <row r="28" spans="1:30" s="35" customFormat="1" ht="15.5">
      <c r="A28" s="127"/>
      <c r="B28" s="85"/>
      <c r="C28" s="132"/>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row>
    <row r="29" spans="1:30">
      <c r="A29" s="36"/>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row>
    <row r="30" spans="1:30" ht="17.25" customHeight="1">
      <c r="A30" s="14"/>
      <c r="C30" s="37"/>
    </row>
    <row r="31" spans="1:30" ht="17.25" customHeight="1">
      <c r="A31" s="14"/>
      <c r="C31" s="37"/>
    </row>
    <row r="32" spans="1:30" ht="17.25" customHeight="1">
      <c r="A32" s="14"/>
      <c r="C32" s="37"/>
    </row>
    <row r="33" spans="1:3" ht="17.25" customHeight="1">
      <c r="A33" s="14"/>
      <c r="C33" s="37"/>
    </row>
    <row r="34" spans="1:3" ht="17.25" customHeight="1">
      <c r="A34" s="14"/>
      <c r="C34" s="37"/>
    </row>
    <row r="35" spans="1:3" ht="17.25" customHeight="1">
      <c r="A35" s="14"/>
      <c r="C35" s="37"/>
    </row>
    <row r="36" spans="1:3" ht="17.25" customHeight="1">
      <c r="A36" s="14"/>
      <c r="C36" s="37"/>
    </row>
    <row r="37" spans="1:3" ht="17.25" customHeight="1">
      <c r="A37" s="14"/>
      <c r="C37" s="37"/>
    </row>
    <row r="38" spans="1:3" ht="17.25" customHeight="1">
      <c r="A38" s="14"/>
      <c r="C38" s="37"/>
    </row>
    <row r="39" spans="1:3" ht="17.25" customHeight="1">
      <c r="A39" s="14"/>
      <c r="C39" s="37"/>
    </row>
    <row r="40" spans="1:3" ht="17.25" customHeight="1">
      <c r="A40" s="14"/>
      <c r="C40" s="37"/>
    </row>
    <row r="41" spans="1:3" ht="17.25" customHeight="1">
      <c r="A41" s="14"/>
      <c r="C41" s="37"/>
    </row>
    <row r="42" spans="1:3" ht="17.25" customHeight="1">
      <c r="A42" s="14"/>
      <c r="C42" s="37"/>
    </row>
    <row r="43" spans="1:3" ht="17.25" customHeight="1">
      <c r="A43" s="14"/>
      <c r="C43" s="37"/>
    </row>
    <row r="44" spans="1:3" ht="17.25" customHeight="1">
      <c r="A44" s="14"/>
      <c r="C44" s="37"/>
    </row>
    <row r="45" spans="1:3" ht="17.25" customHeight="1">
      <c r="A45" s="14"/>
      <c r="C45" s="37"/>
    </row>
    <row r="46" spans="1:3" ht="17.25" customHeight="1">
      <c r="A46" s="14"/>
      <c r="C46" s="37"/>
    </row>
    <row r="47" spans="1:3" ht="17.25" customHeight="1">
      <c r="A47" s="14"/>
      <c r="C47" s="37"/>
    </row>
    <row r="48" spans="1:3" ht="17.25" customHeight="1">
      <c r="A48" s="14"/>
      <c r="C48" s="37"/>
    </row>
    <row r="49" spans="1:30" s="35" customFormat="1" ht="15.5">
      <c r="A49" s="127"/>
      <c r="B49" s="85"/>
      <c r="C49" s="132"/>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row>
    <row r="50" spans="1:30" s="35" customFormat="1" ht="15.5">
      <c r="A50" s="127"/>
      <c r="B50" s="85"/>
      <c r="C50" s="132"/>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row>
    <row r="51" spans="1:30" s="35" customFormat="1" ht="15.5">
      <c r="A51" s="127"/>
      <c r="B51" s="85"/>
      <c r="C51" s="132"/>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row>
    <row r="52" spans="1:30" s="35" customFormat="1" ht="15.5">
      <c r="A52" s="127"/>
      <c r="B52" s="85"/>
      <c r="C52" s="132"/>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row>
    <row r="53" spans="1:30" ht="17.25" customHeight="1">
      <c r="A53" s="14"/>
      <c r="C53" s="37"/>
    </row>
    <row r="54" spans="1:30" ht="17.25" customHeight="1">
      <c r="A54" s="14"/>
      <c r="C54" s="37"/>
    </row>
    <row r="55" spans="1:30" ht="17.25" customHeight="1">
      <c r="A55" s="14"/>
      <c r="C55" s="37"/>
    </row>
    <row r="56" spans="1:30" ht="17.25" customHeight="1">
      <c r="A56" s="14"/>
      <c r="C56" s="37"/>
    </row>
    <row r="57" spans="1:30" ht="17.25" customHeight="1">
      <c r="A57" s="14"/>
      <c r="C57" s="37"/>
    </row>
    <row r="58" spans="1:30" ht="17.25" customHeight="1">
      <c r="A58" s="14"/>
      <c r="C58" s="37"/>
    </row>
    <row r="59" spans="1:30" ht="17.25" customHeight="1">
      <c r="A59" s="14"/>
      <c r="C59" s="37"/>
    </row>
    <row r="60" spans="1:30" ht="17.25" customHeight="1">
      <c r="A60" s="14"/>
      <c r="C60" s="37"/>
    </row>
    <row r="61" spans="1:30" ht="17.25" customHeight="1">
      <c r="A61" s="14"/>
      <c r="C61" s="37"/>
      <c r="G61" s="39"/>
    </row>
    <row r="62" spans="1:30" ht="17.25" customHeight="1">
      <c r="A62" s="14"/>
      <c r="C62" s="37"/>
    </row>
    <row r="63" spans="1:30" ht="17.25" customHeight="1">
      <c r="A63" s="14"/>
      <c r="C63" s="37"/>
    </row>
    <row r="64" spans="1:30" ht="17.25" customHeight="1">
      <c r="A64" s="14"/>
      <c r="C64" s="37"/>
    </row>
    <row r="65" spans="1:3" ht="17.25" customHeight="1">
      <c r="A65" s="14"/>
      <c r="C65" s="37"/>
    </row>
    <row r="66" spans="1:3" ht="17.25" customHeight="1">
      <c r="A66" s="14"/>
      <c r="C66" s="37"/>
    </row>
    <row r="67" spans="1:3" ht="17.25" customHeight="1">
      <c r="A67" s="14"/>
      <c r="C67" s="37"/>
    </row>
    <row r="68" spans="1:3" ht="17.25" customHeight="1">
      <c r="A68" s="14"/>
      <c r="C68" s="37"/>
    </row>
    <row r="69" spans="1:3" ht="17.25" customHeight="1">
      <c r="A69" s="14"/>
      <c r="C69" s="37"/>
    </row>
    <row r="70" spans="1:3" ht="17.25" customHeight="1">
      <c r="A70" s="14"/>
      <c r="C70" s="37"/>
    </row>
    <row r="71" spans="1:3" ht="17.25" customHeight="1">
      <c r="A71" s="14"/>
      <c r="C71" s="37"/>
    </row>
    <row r="72" spans="1:3" ht="17.25" customHeight="1">
      <c r="A72" s="14"/>
      <c r="C72" s="37"/>
    </row>
    <row r="73" spans="1:3" ht="17.25" customHeight="1">
      <c r="A73" s="14"/>
      <c r="C73" s="37"/>
    </row>
    <row r="74" spans="1:3" ht="17.25" customHeight="1">
      <c r="A74" s="14"/>
      <c r="C74" s="37"/>
    </row>
    <row r="75" spans="1:3" ht="17.25" customHeight="1">
      <c r="A75" s="14"/>
      <c r="C75" s="37"/>
    </row>
    <row r="76" spans="1:3" ht="17.25" customHeight="1">
      <c r="A76" s="14"/>
      <c r="C76" s="37"/>
    </row>
    <row r="77" spans="1:3" ht="17.25" customHeight="1">
      <c r="A77" s="14"/>
      <c r="C77" s="37"/>
    </row>
    <row r="78" spans="1:3" ht="17.25" customHeight="1">
      <c r="A78" s="14"/>
      <c r="C78" s="37"/>
    </row>
    <row r="79" spans="1:3" ht="17.25" customHeight="1">
      <c r="A79" s="14"/>
      <c r="C79" s="37"/>
    </row>
    <row r="80" spans="1:3" ht="17.25" customHeight="1">
      <c r="A80" s="14"/>
      <c r="C80" s="37"/>
    </row>
    <row r="81" spans="1:30" ht="17.25" customHeight="1">
      <c r="A81" s="14"/>
      <c r="C81" s="37"/>
    </row>
    <row r="82" spans="1:30" ht="17.25" customHeight="1">
      <c r="A82" s="14"/>
      <c r="C82" s="37"/>
    </row>
    <row r="83" spans="1:30" ht="17.25" customHeight="1">
      <c r="A83" s="14"/>
      <c r="C83" s="37"/>
    </row>
    <row r="84" spans="1:30" ht="17.25" customHeight="1">
      <c r="A84" s="14"/>
      <c r="C84" s="37"/>
    </row>
    <row r="85" spans="1:30" ht="17.25" customHeight="1">
      <c r="A85" s="14"/>
      <c r="C85" s="37"/>
    </row>
    <row r="86" spans="1:30" ht="17.25" customHeight="1">
      <c r="A86" s="14"/>
      <c r="C86" s="37"/>
    </row>
    <row r="87" spans="1:30" ht="17.25" customHeight="1">
      <c r="A87" s="14"/>
      <c r="C87" s="37"/>
    </row>
    <row r="88" spans="1:30" ht="17.25" customHeight="1">
      <c r="A88" s="14"/>
      <c r="C88" s="37"/>
    </row>
    <row r="89" spans="1:30" ht="17.25" customHeight="1">
      <c r="A89" s="14"/>
      <c r="C89" s="37"/>
    </row>
    <row r="90" spans="1:30" ht="17.25" customHeight="1">
      <c r="A90" s="14"/>
      <c r="C90" s="37"/>
    </row>
    <row r="91" spans="1:30" ht="17.25" customHeight="1">
      <c r="A91" s="14"/>
      <c r="C91" s="37"/>
    </row>
    <row r="92" spans="1:30" ht="17.25" customHeight="1">
      <c r="A92" s="14"/>
      <c r="C92" s="37"/>
    </row>
    <row r="93" spans="1:30" ht="17.25" customHeight="1">
      <c r="A93" s="14"/>
      <c r="C93" s="37"/>
    </row>
    <row r="94" spans="1:30" s="5" customFormat="1" ht="18.5">
      <c r="A94" s="319" t="str">
        <f>'Expected NPV &amp; Common Data'!A$36</f>
        <v>Calendar Year --&gt;</v>
      </c>
      <c r="B94" s="243" t="str">
        <f>'Expected NPV &amp; Common Data'!B$36</f>
        <v>units</v>
      </c>
      <c r="C94" s="320" t="str">
        <f>'Expected NPV &amp; Common Data'!C$36</f>
        <v>Total</v>
      </c>
      <c r="D94" s="321">
        <f>'Expected NPV &amp; Common Data'!D$36</f>
        <v>2027</v>
      </c>
      <c r="E94" s="321">
        <f>'Expected NPV &amp; Common Data'!E$36</f>
        <v>2028</v>
      </c>
      <c r="F94" s="321">
        <f>'Expected NPV &amp; Common Data'!F$36</f>
        <v>2029</v>
      </c>
      <c r="G94" s="321">
        <f>'Expected NPV &amp; Common Data'!G$36</f>
        <v>2030</v>
      </c>
      <c r="H94" s="321">
        <f>'Expected NPV &amp; Common Data'!H$36</f>
        <v>2031</v>
      </c>
      <c r="I94" s="321">
        <f>'Expected NPV &amp; Common Data'!I$36</f>
        <v>2032</v>
      </c>
      <c r="J94" s="321">
        <f>'Expected NPV &amp; Common Data'!J$36</f>
        <v>2033</v>
      </c>
      <c r="K94" s="321">
        <f>'Expected NPV &amp; Common Data'!K$36</f>
        <v>2034</v>
      </c>
      <c r="L94" s="321">
        <f>'Expected NPV &amp; Common Data'!L$36</f>
        <v>2035</v>
      </c>
      <c r="M94" s="321">
        <f>'Expected NPV &amp; Common Data'!M$36</f>
        <v>2036</v>
      </c>
      <c r="N94" s="321">
        <f>'Expected NPV &amp; Common Data'!N$36</f>
        <v>2037</v>
      </c>
      <c r="O94" s="321">
        <f>'Expected NPV &amp; Common Data'!O$36</f>
        <v>2038</v>
      </c>
      <c r="P94" s="321">
        <f>'Expected NPV &amp; Common Data'!P$36</f>
        <v>2039</v>
      </c>
      <c r="Q94" s="321">
        <f>'Expected NPV &amp; Common Data'!Q$36</f>
        <v>2040</v>
      </c>
      <c r="R94" s="321">
        <f>'Expected NPV &amp; Common Data'!R$36</f>
        <v>2041</v>
      </c>
      <c r="S94" s="321">
        <f>'Expected NPV &amp; Common Data'!S$36</f>
        <v>2042</v>
      </c>
      <c r="T94" s="321">
        <f>'Expected NPV &amp; Common Data'!T$36</f>
        <v>2043</v>
      </c>
      <c r="U94" s="321">
        <f>'Expected NPV &amp; Common Data'!U$36</f>
        <v>2044</v>
      </c>
      <c r="V94" s="321">
        <f>'Expected NPV &amp; Common Data'!V$36</f>
        <v>2045</v>
      </c>
      <c r="W94" s="321">
        <f>'Expected NPV &amp; Common Data'!W$36</f>
        <v>2046</v>
      </c>
      <c r="X94" s="321">
        <f>'Expected NPV &amp; Common Data'!X$36</f>
        <v>2047</v>
      </c>
      <c r="Y94" s="321">
        <f>'Expected NPV &amp; Common Data'!Y$36</f>
        <v>2048</v>
      </c>
      <c r="Z94" s="321">
        <f>'Expected NPV &amp; Common Data'!Z$36</f>
        <v>2049</v>
      </c>
      <c r="AA94" s="321">
        <f>'Expected NPV &amp; Common Data'!AA$36</f>
        <v>2050</v>
      </c>
      <c r="AB94" s="321">
        <f>'Expected NPV &amp; Common Data'!AB$36</f>
        <v>2051</v>
      </c>
      <c r="AC94" s="321">
        <f>'Expected NPV &amp; Common Data'!AC$36</f>
        <v>2052</v>
      </c>
      <c r="AD94" s="321">
        <f>'Expected NPV &amp; Common Data'!AD$36</f>
        <v>2053</v>
      </c>
    </row>
    <row r="95" spans="1:30" s="8" customFormat="1" ht="15.5">
      <c r="A95" s="246" t="str">
        <f>'Expected NPV &amp; Common Data'!A37</f>
        <v>Production Year from Start up</v>
      </c>
      <c r="B95" s="245"/>
      <c r="C95" s="245"/>
      <c r="D95" s="245">
        <f>'Expected NPV &amp; Common Data'!D37</f>
        <v>0</v>
      </c>
      <c r="E95" s="245">
        <f>'Expected NPV &amp; Common Data'!E37</f>
        <v>0</v>
      </c>
      <c r="F95" s="245">
        <f>'Expected NPV &amp; Common Data'!F37</f>
        <v>1</v>
      </c>
      <c r="G95" s="245">
        <f>'Expected NPV &amp; Common Data'!G37</f>
        <v>2</v>
      </c>
      <c r="H95" s="245">
        <f>'Expected NPV &amp; Common Data'!H37</f>
        <v>3</v>
      </c>
      <c r="I95" s="245">
        <f>'Expected NPV &amp; Common Data'!I37</f>
        <v>4</v>
      </c>
      <c r="J95" s="245">
        <f>'Expected NPV &amp; Common Data'!J37</f>
        <v>5</v>
      </c>
      <c r="K95" s="245">
        <f>'Expected NPV &amp; Common Data'!K37</f>
        <v>6</v>
      </c>
      <c r="L95" s="245">
        <f>'Expected NPV &amp; Common Data'!L37</f>
        <v>7</v>
      </c>
      <c r="M95" s="245">
        <f>'Expected NPV &amp; Common Data'!M37</f>
        <v>8</v>
      </c>
      <c r="N95" s="245">
        <f>'Expected NPV &amp; Common Data'!N37</f>
        <v>9</v>
      </c>
      <c r="O95" s="245">
        <f>'Expected NPV &amp; Common Data'!O37</f>
        <v>10</v>
      </c>
      <c r="P95" s="245">
        <f>'Expected NPV &amp; Common Data'!P37</f>
        <v>11</v>
      </c>
      <c r="Q95" s="245">
        <f>'Expected NPV &amp; Common Data'!Q37</f>
        <v>12</v>
      </c>
      <c r="R95" s="245">
        <f>'Expected NPV &amp; Common Data'!R37</f>
        <v>13</v>
      </c>
      <c r="S95" s="245">
        <f>'Expected NPV &amp; Common Data'!S37</f>
        <v>14</v>
      </c>
      <c r="T95" s="245">
        <f>'Expected NPV &amp; Common Data'!T37</f>
        <v>15</v>
      </c>
      <c r="U95" s="245">
        <f>'Expected NPV &amp; Common Data'!U37</f>
        <v>16</v>
      </c>
      <c r="V95" s="245">
        <f>'Expected NPV &amp; Common Data'!V37</f>
        <v>17</v>
      </c>
      <c r="W95" s="245">
        <f>'Expected NPV &amp; Common Data'!W37</f>
        <v>18</v>
      </c>
      <c r="X95" s="245">
        <f>'Expected NPV &amp; Common Data'!X37</f>
        <v>19</v>
      </c>
      <c r="Y95" s="245">
        <f>'Expected NPV &amp; Common Data'!Y37</f>
        <v>20</v>
      </c>
      <c r="Z95" s="245">
        <f>'Expected NPV &amp; Common Data'!Z37</f>
        <v>21</v>
      </c>
      <c r="AA95" s="245">
        <f>'Expected NPV &amp; Common Data'!AA37</f>
        <v>22</v>
      </c>
      <c r="AB95" s="245">
        <f>'Expected NPV &amp; Common Data'!AB37</f>
        <v>23</v>
      </c>
      <c r="AC95" s="245">
        <f>'Expected NPV &amp; Common Data'!AC37</f>
        <v>24</v>
      </c>
      <c r="AD95" s="245">
        <f>'Expected NPV &amp; Common Data'!AD37</f>
        <v>25</v>
      </c>
    </row>
    <row r="96" spans="1:30" s="32" customFormat="1" ht="53.25" customHeight="1">
      <c r="A96" s="22" t="s">
        <v>427</v>
      </c>
      <c r="C96" s="33"/>
      <c r="I96" s="33"/>
      <c r="J96" s="33"/>
      <c r="K96" s="33"/>
      <c r="L96" s="33"/>
      <c r="M96" s="33"/>
      <c r="N96" s="33"/>
      <c r="O96" s="33"/>
      <c r="P96" s="33"/>
      <c r="Q96" s="33"/>
      <c r="R96" s="33"/>
      <c r="S96" s="33"/>
      <c r="T96" s="33"/>
      <c r="U96" s="33"/>
      <c r="V96" s="33"/>
      <c r="W96" s="33"/>
      <c r="X96" s="33"/>
      <c r="Y96" s="33"/>
      <c r="Z96" s="33"/>
      <c r="AA96" s="33"/>
      <c r="AB96" s="33"/>
      <c r="AC96" s="33"/>
      <c r="AD96" s="33"/>
    </row>
    <row r="97" spans="1:30" customFormat="1" ht="18.5">
      <c r="A97" s="17" t="s">
        <v>123</v>
      </c>
      <c r="C97" s="3"/>
      <c r="D97" s="2"/>
      <c r="E97" s="2"/>
      <c r="F97" s="2"/>
      <c r="G97" s="2"/>
      <c r="H97" s="2"/>
      <c r="I97" s="2"/>
      <c r="J97" s="2"/>
      <c r="K97" s="2"/>
      <c r="L97" s="2"/>
      <c r="M97" s="2"/>
      <c r="N97" s="2"/>
      <c r="O97" s="2"/>
      <c r="P97" s="2"/>
      <c r="Q97" s="2"/>
      <c r="R97" s="2"/>
      <c r="S97" s="2"/>
      <c r="T97" s="2"/>
      <c r="U97" s="2"/>
      <c r="V97" s="2"/>
      <c r="W97" s="2"/>
      <c r="X97" s="2"/>
      <c r="Y97" s="2"/>
      <c r="Z97" s="2"/>
      <c r="AA97" s="2"/>
      <c r="AB97" s="2"/>
      <c r="AC97" s="2"/>
      <c r="AD97" s="2"/>
    </row>
    <row r="98" spans="1:30">
      <c r="A98" s="214" t="s">
        <v>602</v>
      </c>
      <c r="B98" s="322" t="s">
        <v>274</v>
      </c>
      <c r="C98" s="288"/>
      <c r="D98" s="324">
        <v>0.6</v>
      </c>
      <c r="E98" s="288">
        <f>D98</f>
        <v>0.6</v>
      </c>
      <c r="F98" s="288">
        <f t="shared" ref="F98:AD98" si="8">E98</f>
        <v>0.6</v>
      </c>
      <c r="G98" s="288">
        <f t="shared" si="8"/>
        <v>0.6</v>
      </c>
      <c r="H98" s="288">
        <f t="shared" si="8"/>
        <v>0.6</v>
      </c>
      <c r="I98" s="288">
        <f t="shared" si="8"/>
        <v>0.6</v>
      </c>
      <c r="J98" s="288">
        <f t="shared" si="8"/>
        <v>0.6</v>
      </c>
      <c r="K98" s="288">
        <f t="shared" si="8"/>
        <v>0.6</v>
      </c>
      <c r="L98" s="288">
        <f t="shared" si="8"/>
        <v>0.6</v>
      </c>
      <c r="M98" s="288">
        <f t="shared" si="8"/>
        <v>0.6</v>
      </c>
      <c r="N98" s="288">
        <f t="shared" si="8"/>
        <v>0.6</v>
      </c>
      <c r="O98" s="288">
        <f t="shared" si="8"/>
        <v>0.6</v>
      </c>
      <c r="P98" s="288">
        <f t="shared" si="8"/>
        <v>0.6</v>
      </c>
      <c r="Q98" s="288">
        <f t="shared" si="8"/>
        <v>0.6</v>
      </c>
      <c r="R98" s="288">
        <f t="shared" si="8"/>
        <v>0.6</v>
      </c>
      <c r="S98" s="288">
        <f t="shared" si="8"/>
        <v>0.6</v>
      </c>
      <c r="T98" s="288">
        <f t="shared" si="8"/>
        <v>0.6</v>
      </c>
      <c r="U98" s="288">
        <f t="shared" si="8"/>
        <v>0.6</v>
      </c>
      <c r="V98" s="288">
        <f t="shared" si="8"/>
        <v>0.6</v>
      </c>
      <c r="W98" s="288">
        <f t="shared" si="8"/>
        <v>0.6</v>
      </c>
      <c r="X98" s="288">
        <f t="shared" si="8"/>
        <v>0.6</v>
      </c>
      <c r="Y98" s="288">
        <f t="shared" si="8"/>
        <v>0.6</v>
      </c>
      <c r="Z98" s="288">
        <f t="shared" si="8"/>
        <v>0.6</v>
      </c>
      <c r="AA98" s="288">
        <f t="shared" si="8"/>
        <v>0.6</v>
      </c>
      <c r="AB98" s="288">
        <f t="shared" si="8"/>
        <v>0.6</v>
      </c>
      <c r="AC98" s="288">
        <f t="shared" si="8"/>
        <v>0.6</v>
      </c>
      <c r="AD98" s="288">
        <f t="shared" si="8"/>
        <v>0.6</v>
      </c>
    </row>
    <row r="99" spans="1:30" customFormat="1" ht="15.5">
      <c r="A99" s="97" t="s">
        <v>191</v>
      </c>
      <c r="C99" s="3"/>
      <c r="D99" s="2"/>
      <c r="E99" s="2"/>
      <c r="F99" s="2"/>
      <c r="G99" s="2"/>
      <c r="H99" s="2"/>
      <c r="I99" s="2"/>
      <c r="J99" s="2"/>
      <c r="K99" s="2"/>
      <c r="L99" s="2"/>
      <c r="M99" s="2"/>
      <c r="N99" s="2"/>
      <c r="O99" s="2"/>
      <c r="P99" s="2"/>
      <c r="Q99" s="2"/>
      <c r="R99" s="2"/>
      <c r="S99" s="2"/>
      <c r="T99" s="2"/>
      <c r="U99" s="2"/>
      <c r="V99" s="2"/>
      <c r="W99" s="2"/>
      <c r="X99" s="2"/>
      <c r="Y99" s="2"/>
      <c r="Z99" s="2"/>
      <c r="AA99" s="2"/>
      <c r="AB99" s="2"/>
      <c r="AC99" s="2"/>
      <c r="AD99" s="2"/>
    </row>
    <row r="100" spans="1:30">
      <c r="A100" s="214" t="s">
        <v>603</v>
      </c>
      <c r="B100" s="322" t="s">
        <v>47</v>
      </c>
      <c r="C100" s="288"/>
      <c r="D100" s="324">
        <v>3.5</v>
      </c>
      <c r="E100" s="288">
        <f>D100</f>
        <v>3.5</v>
      </c>
      <c r="F100" s="288">
        <f t="shared" ref="F100:AD100" si="9">E100</f>
        <v>3.5</v>
      </c>
      <c r="G100" s="288">
        <f t="shared" si="9"/>
        <v>3.5</v>
      </c>
      <c r="H100" s="288">
        <f t="shared" si="9"/>
        <v>3.5</v>
      </c>
      <c r="I100" s="288">
        <f t="shared" si="9"/>
        <v>3.5</v>
      </c>
      <c r="J100" s="288">
        <f t="shared" si="9"/>
        <v>3.5</v>
      </c>
      <c r="K100" s="288">
        <f t="shared" si="9"/>
        <v>3.5</v>
      </c>
      <c r="L100" s="288">
        <f t="shared" si="9"/>
        <v>3.5</v>
      </c>
      <c r="M100" s="288">
        <f t="shared" si="9"/>
        <v>3.5</v>
      </c>
      <c r="N100" s="288">
        <f t="shared" si="9"/>
        <v>3.5</v>
      </c>
      <c r="O100" s="288">
        <f t="shared" si="9"/>
        <v>3.5</v>
      </c>
      <c r="P100" s="288">
        <f t="shared" si="9"/>
        <v>3.5</v>
      </c>
      <c r="Q100" s="288">
        <f t="shared" si="9"/>
        <v>3.5</v>
      </c>
      <c r="R100" s="288">
        <f t="shared" si="9"/>
        <v>3.5</v>
      </c>
      <c r="S100" s="288">
        <f t="shared" si="9"/>
        <v>3.5</v>
      </c>
      <c r="T100" s="288">
        <f t="shared" si="9"/>
        <v>3.5</v>
      </c>
      <c r="U100" s="288">
        <f t="shared" si="9"/>
        <v>3.5</v>
      </c>
      <c r="V100" s="288">
        <f t="shared" si="9"/>
        <v>3.5</v>
      </c>
      <c r="W100" s="288">
        <f t="shared" si="9"/>
        <v>3.5</v>
      </c>
      <c r="X100" s="288">
        <f t="shared" si="9"/>
        <v>3.5</v>
      </c>
      <c r="Y100" s="288">
        <f t="shared" si="9"/>
        <v>3.5</v>
      </c>
      <c r="Z100" s="288">
        <f t="shared" si="9"/>
        <v>3.5</v>
      </c>
      <c r="AA100" s="288">
        <f t="shared" si="9"/>
        <v>3.5</v>
      </c>
      <c r="AB100" s="288">
        <f t="shared" si="9"/>
        <v>3.5</v>
      </c>
      <c r="AC100" s="288">
        <f t="shared" si="9"/>
        <v>3.5</v>
      </c>
      <c r="AD100" s="288">
        <f t="shared" si="9"/>
        <v>3.5</v>
      </c>
    </row>
    <row r="101" spans="1:30">
      <c r="A101" s="214" t="s">
        <v>604</v>
      </c>
      <c r="B101" s="322" t="s">
        <v>113</v>
      </c>
      <c r="C101" s="288"/>
      <c r="D101" s="325">
        <v>1500</v>
      </c>
      <c r="E101" s="219">
        <f>D101</f>
        <v>1500</v>
      </c>
      <c r="F101" s="219">
        <f t="shared" ref="F101:AD101" si="10">E101</f>
        <v>1500</v>
      </c>
      <c r="G101" s="219">
        <f t="shared" si="10"/>
        <v>1500</v>
      </c>
      <c r="H101" s="219">
        <f t="shared" si="10"/>
        <v>1500</v>
      </c>
      <c r="I101" s="219">
        <f t="shared" si="10"/>
        <v>1500</v>
      </c>
      <c r="J101" s="219">
        <f t="shared" si="10"/>
        <v>1500</v>
      </c>
      <c r="K101" s="219">
        <f t="shared" si="10"/>
        <v>1500</v>
      </c>
      <c r="L101" s="219">
        <f t="shared" si="10"/>
        <v>1500</v>
      </c>
      <c r="M101" s="219">
        <f t="shared" si="10"/>
        <v>1500</v>
      </c>
      <c r="N101" s="219">
        <f t="shared" si="10"/>
        <v>1500</v>
      </c>
      <c r="O101" s="219">
        <f t="shared" si="10"/>
        <v>1500</v>
      </c>
      <c r="P101" s="219">
        <f t="shared" si="10"/>
        <v>1500</v>
      </c>
      <c r="Q101" s="219">
        <f t="shared" si="10"/>
        <v>1500</v>
      </c>
      <c r="R101" s="219">
        <f t="shared" si="10"/>
        <v>1500</v>
      </c>
      <c r="S101" s="219">
        <f t="shared" si="10"/>
        <v>1500</v>
      </c>
      <c r="T101" s="219">
        <f t="shared" si="10"/>
        <v>1500</v>
      </c>
      <c r="U101" s="219">
        <f t="shared" si="10"/>
        <v>1500</v>
      </c>
      <c r="V101" s="219">
        <f t="shared" si="10"/>
        <v>1500</v>
      </c>
      <c r="W101" s="219">
        <f t="shared" si="10"/>
        <v>1500</v>
      </c>
      <c r="X101" s="219">
        <f t="shared" si="10"/>
        <v>1500</v>
      </c>
      <c r="Y101" s="219">
        <f t="shared" si="10"/>
        <v>1500</v>
      </c>
      <c r="Z101" s="219">
        <f t="shared" si="10"/>
        <v>1500</v>
      </c>
      <c r="AA101" s="219">
        <f t="shared" si="10"/>
        <v>1500</v>
      </c>
      <c r="AB101" s="219">
        <f t="shared" si="10"/>
        <v>1500</v>
      </c>
      <c r="AC101" s="219">
        <f t="shared" si="10"/>
        <v>1500</v>
      </c>
      <c r="AD101" s="219">
        <f t="shared" si="10"/>
        <v>1500</v>
      </c>
    </row>
    <row r="102" spans="1:30">
      <c r="A102" s="214" t="s">
        <v>605</v>
      </c>
      <c r="B102" s="322" t="s">
        <v>113</v>
      </c>
      <c r="C102" s="288"/>
      <c r="D102" s="219">
        <v>25</v>
      </c>
      <c r="E102" s="219">
        <f>D102</f>
        <v>25</v>
      </c>
      <c r="F102" s="219">
        <f t="shared" ref="F102:AD102" si="11">E102</f>
        <v>25</v>
      </c>
      <c r="G102" s="219">
        <f t="shared" si="11"/>
        <v>25</v>
      </c>
      <c r="H102" s="219">
        <f t="shared" si="11"/>
        <v>25</v>
      </c>
      <c r="I102" s="219">
        <f t="shared" si="11"/>
        <v>25</v>
      </c>
      <c r="J102" s="219">
        <f t="shared" si="11"/>
        <v>25</v>
      </c>
      <c r="K102" s="219">
        <f t="shared" si="11"/>
        <v>25</v>
      </c>
      <c r="L102" s="219">
        <f t="shared" si="11"/>
        <v>25</v>
      </c>
      <c r="M102" s="219">
        <f t="shared" si="11"/>
        <v>25</v>
      </c>
      <c r="N102" s="219">
        <f t="shared" si="11"/>
        <v>25</v>
      </c>
      <c r="O102" s="219">
        <f t="shared" si="11"/>
        <v>25</v>
      </c>
      <c r="P102" s="219">
        <f t="shared" si="11"/>
        <v>25</v>
      </c>
      <c r="Q102" s="219">
        <f t="shared" si="11"/>
        <v>25</v>
      </c>
      <c r="R102" s="219">
        <f t="shared" si="11"/>
        <v>25</v>
      </c>
      <c r="S102" s="219">
        <f t="shared" si="11"/>
        <v>25</v>
      </c>
      <c r="T102" s="219">
        <f t="shared" si="11"/>
        <v>25</v>
      </c>
      <c r="U102" s="219">
        <f t="shared" si="11"/>
        <v>25</v>
      </c>
      <c r="V102" s="219">
        <f t="shared" si="11"/>
        <v>25</v>
      </c>
      <c r="W102" s="219">
        <f t="shared" si="11"/>
        <v>25</v>
      </c>
      <c r="X102" s="219">
        <f t="shared" si="11"/>
        <v>25</v>
      </c>
      <c r="Y102" s="219">
        <f t="shared" si="11"/>
        <v>25</v>
      </c>
      <c r="Z102" s="219">
        <f t="shared" si="11"/>
        <v>25</v>
      </c>
      <c r="AA102" s="219">
        <f t="shared" si="11"/>
        <v>25</v>
      </c>
      <c r="AB102" s="219">
        <f t="shared" si="11"/>
        <v>25</v>
      </c>
      <c r="AC102" s="219">
        <f t="shared" si="11"/>
        <v>25</v>
      </c>
      <c r="AD102" s="219">
        <f t="shared" si="11"/>
        <v>25</v>
      </c>
    </row>
    <row r="103" spans="1:30">
      <c r="A103" s="214" t="s">
        <v>606</v>
      </c>
      <c r="B103" s="322" t="s">
        <v>47</v>
      </c>
      <c r="C103" s="288"/>
      <c r="D103" s="288">
        <v>20</v>
      </c>
      <c r="E103" s="288">
        <f>D103</f>
        <v>20</v>
      </c>
      <c r="F103" s="288">
        <f t="shared" ref="F103:AD103" si="12">E103</f>
        <v>20</v>
      </c>
      <c r="G103" s="288">
        <f t="shared" si="12"/>
        <v>20</v>
      </c>
      <c r="H103" s="288">
        <f t="shared" si="12"/>
        <v>20</v>
      </c>
      <c r="I103" s="288">
        <f t="shared" si="12"/>
        <v>20</v>
      </c>
      <c r="J103" s="288">
        <f t="shared" si="12"/>
        <v>20</v>
      </c>
      <c r="K103" s="288">
        <f t="shared" si="12"/>
        <v>20</v>
      </c>
      <c r="L103" s="288">
        <f t="shared" si="12"/>
        <v>20</v>
      </c>
      <c r="M103" s="288">
        <f t="shared" si="12"/>
        <v>20</v>
      </c>
      <c r="N103" s="288">
        <f t="shared" si="12"/>
        <v>20</v>
      </c>
      <c r="O103" s="288">
        <f t="shared" si="12"/>
        <v>20</v>
      </c>
      <c r="P103" s="288">
        <f t="shared" si="12"/>
        <v>20</v>
      </c>
      <c r="Q103" s="288">
        <f t="shared" si="12"/>
        <v>20</v>
      </c>
      <c r="R103" s="288">
        <f t="shared" si="12"/>
        <v>20</v>
      </c>
      <c r="S103" s="288">
        <f t="shared" si="12"/>
        <v>20</v>
      </c>
      <c r="T103" s="288">
        <f t="shared" si="12"/>
        <v>20</v>
      </c>
      <c r="U103" s="288">
        <f t="shared" si="12"/>
        <v>20</v>
      </c>
      <c r="V103" s="288">
        <f t="shared" si="12"/>
        <v>20</v>
      </c>
      <c r="W103" s="288">
        <f t="shared" si="12"/>
        <v>20</v>
      </c>
      <c r="X103" s="288">
        <f t="shared" si="12"/>
        <v>20</v>
      </c>
      <c r="Y103" s="288">
        <f t="shared" si="12"/>
        <v>20</v>
      </c>
      <c r="Z103" s="288">
        <f t="shared" si="12"/>
        <v>20</v>
      </c>
      <c r="AA103" s="288">
        <f t="shared" si="12"/>
        <v>20</v>
      </c>
      <c r="AB103" s="288">
        <f t="shared" si="12"/>
        <v>20</v>
      </c>
      <c r="AC103" s="288">
        <f t="shared" si="12"/>
        <v>20</v>
      </c>
      <c r="AD103" s="288">
        <f t="shared" si="12"/>
        <v>20</v>
      </c>
    </row>
    <row r="104" spans="1:30" customFormat="1" ht="15.5">
      <c r="A104" s="97" t="s">
        <v>190</v>
      </c>
      <c r="C104" s="3"/>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row>
    <row r="105" spans="1:30">
      <c r="A105" s="214" t="s">
        <v>607</v>
      </c>
      <c r="B105" s="322" t="s">
        <v>60</v>
      </c>
      <c r="C105" s="288"/>
      <c r="D105" s="288">
        <v>100</v>
      </c>
      <c r="E105" s="288">
        <f>D105</f>
        <v>100</v>
      </c>
      <c r="F105" s="288">
        <f t="shared" ref="F105:AD105" si="13">E105</f>
        <v>100</v>
      </c>
      <c r="G105" s="288">
        <f t="shared" si="13"/>
        <v>100</v>
      </c>
      <c r="H105" s="288">
        <f t="shared" si="13"/>
        <v>100</v>
      </c>
      <c r="I105" s="288">
        <f t="shared" si="13"/>
        <v>100</v>
      </c>
      <c r="J105" s="288">
        <f t="shared" si="13"/>
        <v>100</v>
      </c>
      <c r="K105" s="288">
        <f t="shared" si="13"/>
        <v>100</v>
      </c>
      <c r="L105" s="288">
        <f t="shared" si="13"/>
        <v>100</v>
      </c>
      <c r="M105" s="288">
        <f t="shared" si="13"/>
        <v>100</v>
      </c>
      <c r="N105" s="288">
        <f t="shared" si="13"/>
        <v>100</v>
      </c>
      <c r="O105" s="288">
        <f t="shared" si="13"/>
        <v>100</v>
      </c>
      <c r="P105" s="288">
        <f t="shared" si="13"/>
        <v>100</v>
      </c>
      <c r="Q105" s="288">
        <f t="shared" si="13"/>
        <v>100</v>
      </c>
      <c r="R105" s="288">
        <f t="shared" si="13"/>
        <v>100</v>
      </c>
      <c r="S105" s="288">
        <f t="shared" si="13"/>
        <v>100</v>
      </c>
      <c r="T105" s="288">
        <f t="shared" si="13"/>
        <v>100</v>
      </c>
      <c r="U105" s="288">
        <f t="shared" si="13"/>
        <v>100</v>
      </c>
      <c r="V105" s="288">
        <f t="shared" si="13"/>
        <v>100</v>
      </c>
      <c r="W105" s="288">
        <f t="shared" si="13"/>
        <v>100</v>
      </c>
      <c r="X105" s="288">
        <f t="shared" si="13"/>
        <v>100</v>
      </c>
      <c r="Y105" s="288">
        <f t="shared" si="13"/>
        <v>100</v>
      </c>
      <c r="Z105" s="288">
        <f t="shared" si="13"/>
        <v>100</v>
      </c>
      <c r="AA105" s="288">
        <f t="shared" si="13"/>
        <v>100</v>
      </c>
      <c r="AB105" s="288">
        <f t="shared" si="13"/>
        <v>100</v>
      </c>
      <c r="AC105" s="288">
        <f t="shared" si="13"/>
        <v>100</v>
      </c>
      <c r="AD105" s="288">
        <f t="shared" si="13"/>
        <v>100</v>
      </c>
    </row>
    <row r="106" spans="1:30">
      <c r="A106" s="214" t="s">
        <v>608</v>
      </c>
      <c r="B106" s="322" t="s">
        <v>61</v>
      </c>
      <c r="C106" s="288"/>
      <c r="D106" s="288">
        <v>0.1</v>
      </c>
      <c r="E106" s="288">
        <f>D106</f>
        <v>0.1</v>
      </c>
      <c r="F106" s="288">
        <f t="shared" ref="F106:AD106" si="14">E106</f>
        <v>0.1</v>
      </c>
      <c r="G106" s="288">
        <f t="shared" si="14"/>
        <v>0.1</v>
      </c>
      <c r="H106" s="288">
        <f t="shared" si="14"/>
        <v>0.1</v>
      </c>
      <c r="I106" s="288">
        <f t="shared" si="14"/>
        <v>0.1</v>
      </c>
      <c r="J106" s="288">
        <f t="shared" si="14"/>
        <v>0.1</v>
      </c>
      <c r="K106" s="288">
        <f t="shared" si="14"/>
        <v>0.1</v>
      </c>
      <c r="L106" s="288">
        <f t="shared" si="14"/>
        <v>0.1</v>
      </c>
      <c r="M106" s="288">
        <f t="shared" si="14"/>
        <v>0.1</v>
      </c>
      <c r="N106" s="288">
        <f t="shared" si="14"/>
        <v>0.1</v>
      </c>
      <c r="O106" s="288">
        <f t="shared" si="14"/>
        <v>0.1</v>
      </c>
      <c r="P106" s="288">
        <f t="shared" si="14"/>
        <v>0.1</v>
      </c>
      <c r="Q106" s="288">
        <f t="shared" si="14"/>
        <v>0.1</v>
      </c>
      <c r="R106" s="288">
        <f t="shared" si="14"/>
        <v>0.1</v>
      </c>
      <c r="S106" s="288">
        <f t="shared" si="14"/>
        <v>0.1</v>
      </c>
      <c r="T106" s="288">
        <f t="shared" si="14"/>
        <v>0.1</v>
      </c>
      <c r="U106" s="288">
        <f t="shared" si="14"/>
        <v>0.1</v>
      </c>
      <c r="V106" s="288">
        <f t="shared" si="14"/>
        <v>0.1</v>
      </c>
      <c r="W106" s="288">
        <f t="shared" si="14"/>
        <v>0.1</v>
      </c>
      <c r="X106" s="288">
        <f t="shared" si="14"/>
        <v>0.1</v>
      </c>
      <c r="Y106" s="288">
        <f t="shared" si="14"/>
        <v>0.1</v>
      </c>
      <c r="Z106" s="288">
        <f t="shared" si="14"/>
        <v>0.1</v>
      </c>
      <c r="AA106" s="288">
        <f t="shared" si="14"/>
        <v>0.1</v>
      </c>
      <c r="AB106" s="288">
        <f t="shared" si="14"/>
        <v>0.1</v>
      </c>
      <c r="AC106" s="288">
        <f t="shared" si="14"/>
        <v>0.1</v>
      </c>
      <c r="AD106" s="288">
        <f t="shared" si="14"/>
        <v>0.1</v>
      </c>
    </row>
    <row r="107" spans="1:30">
      <c r="A107" s="214" t="s">
        <v>609</v>
      </c>
      <c r="B107" s="322" t="s">
        <v>62</v>
      </c>
      <c r="C107" s="288"/>
      <c r="D107" s="288">
        <v>5</v>
      </c>
      <c r="E107" s="288">
        <f>D107</f>
        <v>5</v>
      </c>
      <c r="F107" s="288">
        <f t="shared" ref="F107:AD107" si="15">E107</f>
        <v>5</v>
      </c>
      <c r="G107" s="288">
        <f t="shared" si="15"/>
        <v>5</v>
      </c>
      <c r="H107" s="288">
        <f t="shared" si="15"/>
        <v>5</v>
      </c>
      <c r="I107" s="288">
        <f t="shared" si="15"/>
        <v>5</v>
      </c>
      <c r="J107" s="288">
        <f t="shared" si="15"/>
        <v>5</v>
      </c>
      <c r="K107" s="288">
        <f t="shared" si="15"/>
        <v>5</v>
      </c>
      <c r="L107" s="288">
        <f t="shared" si="15"/>
        <v>5</v>
      </c>
      <c r="M107" s="288">
        <f t="shared" si="15"/>
        <v>5</v>
      </c>
      <c r="N107" s="288">
        <f t="shared" si="15"/>
        <v>5</v>
      </c>
      <c r="O107" s="288">
        <f t="shared" si="15"/>
        <v>5</v>
      </c>
      <c r="P107" s="288">
        <f t="shared" si="15"/>
        <v>5</v>
      </c>
      <c r="Q107" s="288">
        <f t="shared" si="15"/>
        <v>5</v>
      </c>
      <c r="R107" s="288">
        <f t="shared" si="15"/>
        <v>5</v>
      </c>
      <c r="S107" s="288">
        <f t="shared" si="15"/>
        <v>5</v>
      </c>
      <c r="T107" s="288">
        <f t="shared" si="15"/>
        <v>5</v>
      </c>
      <c r="U107" s="288">
        <f t="shared" si="15"/>
        <v>5</v>
      </c>
      <c r="V107" s="288">
        <f t="shared" si="15"/>
        <v>5</v>
      </c>
      <c r="W107" s="288">
        <f t="shared" si="15"/>
        <v>5</v>
      </c>
      <c r="X107" s="288">
        <f t="shared" si="15"/>
        <v>5</v>
      </c>
      <c r="Y107" s="288">
        <f t="shared" si="15"/>
        <v>5</v>
      </c>
      <c r="Z107" s="288">
        <f t="shared" si="15"/>
        <v>5</v>
      </c>
      <c r="AA107" s="288">
        <f t="shared" si="15"/>
        <v>5</v>
      </c>
      <c r="AB107" s="288">
        <f t="shared" si="15"/>
        <v>5</v>
      </c>
      <c r="AC107" s="288">
        <f t="shared" si="15"/>
        <v>5</v>
      </c>
      <c r="AD107" s="288">
        <f t="shared" si="15"/>
        <v>5</v>
      </c>
    </row>
    <row r="108" spans="1:30">
      <c r="A108" s="214" t="s">
        <v>610</v>
      </c>
      <c r="B108" s="322" t="s">
        <v>62</v>
      </c>
      <c r="C108" s="288"/>
      <c r="D108" s="288">
        <v>0.5</v>
      </c>
      <c r="E108" s="288">
        <f>D108</f>
        <v>0.5</v>
      </c>
      <c r="F108" s="288">
        <f t="shared" ref="F108:AD108" si="16">E108</f>
        <v>0.5</v>
      </c>
      <c r="G108" s="288">
        <f t="shared" si="16"/>
        <v>0.5</v>
      </c>
      <c r="H108" s="288">
        <f t="shared" si="16"/>
        <v>0.5</v>
      </c>
      <c r="I108" s="288">
        <f t="shared" si="16"/>
        <v>0.5</v>
      </c>
      <c r="J108" s="288">
        <f t="shared" si="16"/>
        <v>0.5</v>
      </c>
      <c r="K108" s="288">
        <f t="shared" si="16"/>
        <v>0.5</v>
      </c>
      <c r="L108" s="288">
        <f t="shared" si="16"/>
        <v>0.5</v>
      </c>
      <c r="M108" s="288">
        <f t="shared" si="16"/>
        <v>0.5</v>
      </c>
      <c r="N108" s="288">
        <f t="shared" si="16"/>
        <v>0.5</v>
      </c>
      <c r="O108" s="288">
        <f t="shared" si="16"/>
        <v>0.5</v>
      </c>
      <c r="P108" s="288">
        <f t="shared" si="16"/>
        <v>0.5</v>
      </c>
      <c r="Q108" s="288">
        <f t="shared" si="16"/>
        <v>0.5</v>
      </c>
      <c r="R108" s="288">
        <f t="shared" si="16"/>
        <v>0.5</v>
      </c>
      <c r="S108" s="288">
        <f t="shared" si="16"/>
        <v>0.5</v>
      </c>
      <c r="T108" s="288">
        <f t="shared" si="16"/>
        <v>0.5</v>
      </c>
      <c r="U108" s="288">
        <f t="shared" si="16"/>
        <v>0.5</v>
      </c>
      <c r="V108" s="288">
        <f t="shared" si="16"/>
        <v>0.5</v>
      </c>
      <c r="W108" s="288">
        <f t="shared" si="16"/>
        <v>0.5</v>
      </c>
      <c r="X108" s="288">
        <f t="shared" si="16"/>
        <v>0.5</v>
      </c>
      <c r="Y108" s="288">
        <f t="shared" si="16"/>
        <v>0.5</v>
      </c>
      <c r="Z108" s="288">
        <f t="shared" si="16"/>
        <v>0.5</v>
      </c>
      <c r="AA108" s="288">
        <f t="shared" si="16"/>
        <v>0.5</v>
      </c>
      <c r="AB108" s="288">
        <f t="shared" si="16"/>
        <v>0.5</v>
      </c>
      <c r="AC108" s="288">
        <f t="shared" si="16"/>
        <v>0.5</v>
      </c>
      <c r="AD108" s="288">
        <f t="shared" si="16"/>
        <v>0.5</v>
      </c>
    </row>
    <row r="109" spans="1:30" s="32" customFormat="1" ht="53.25" customHeight="1">
      <c r="A109" s="21" t="s">
        <v>4</v>
      </c>
      <c r="C109" s="33"/>
      <c r="I109" s="33"/>
      <c r="J109" s="33"/>
      <c r="K109" s="33"/>
      <c r="L109" s="33"/>
      <c r="M109" s="33"/>
      <c r="N109" s="33"/>
      <c r="O109" s="33"/>
      <c r="P109" s="33"/>
      <c r="Q109" s="33"/>
      <c r="R109" s="33"/>
      <c r="S109" s="33"/>
      <c r="T109" s="33"/>
      <c r="U109" s="33"/>
      <c r="V109" s="33"/>
      <c r="W109" s="33"/>
      <c r="X109" s="33"/>
      <c r="Y109" s="33"/>
      <c r="Z109" s="33"/>
      <c r="AA109" s="33"/>
      <c r="AB109" s="33"/>
      <c r="AC109" s="33"/>
      <c r="AD109" s="33"/>
    </row>
    <row r="110" spans="1:30" outlineLevel="1">
      <c r="A110" s="265" t="s">
        <v>543</v>
      </c>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row>
    <row r="111" spans="1:30" ht="43.25" customHeight="1">
      <c r="A111" s="22" t="s">
        <v>7</v>
      </c>
      <c r="I111" s="15"/>
      <c r="J111" s="15"/>
      <c r="K111" s="15"/>
      <c r="L111" s="15"/>
      <c r="M111" s="15"/>
      <c r="N111" s="15"/>
      <c r="O111" s="15"/>
      <c r="P111" s="15"/>
      <c r="Q111" s="15"/>
      <c r="R111" s="15"/>
      <c r="S111" s="15"/>
      <c r="T111" s="15"/>
      <c r="U111" s="15"/>
      <c r="V111" s="15"/>
      <c r="W111" s="15"/>
      <c r="X111" s="15"/>
      <c r="Y111" s="15"/>
      <c r="Z111" s="15"/>
      <c r="AA111" s="15"/>
      <c r="AB111" s="15"/>
      <c r="AC111" s="15"/>
      <c r="AD111" s="15"/>
    </row>
    <row r="112" spans="1:30" ht="34.25" customHeight="1">
      <c r="A112" s="23" t="s">
        <v>194</v>
      </c>
      <c r="I112" s="15"/>
      <c r="J112" s="15"/>
      <c r="K112" s="15"/>
      <c r="L112" s="15"/>
      <c r="M112" s="15"/>
      <c r="N112" s="15"/>
      <c r="O112" s="15"/>
      <c r="P112" s="15"/>
      <c r="Q112" s="15"/>
      <c r="R112" s="15"/>
      <c r="S112" s="15"/>
      <c r="T112" s="15"/>
      <c r="U112" s="15"/>
      <c r="V112" s="15"/>
      <c r="W112" s="15"/>
      <c r="X112" s="15"/>
      <c r="Y112" s="15"/>
      <c r="Z112" s="15"/>
      <c r="AA112" s="15"/>
      <c r="AB112" s="15"/>
      <c r="AC112" s="15"/>
      <c r="AD112" s="15"/>
    </row>
    <row r="113" spans="1:30" s="8" customFormat="1" ht="15.5" outlineLevel="1">
      <c r="A113" s="242" t="str">
        <f>'Expected NPV &amp; Common Data'!A$36</f>
        <v>Calendar Year --&gt;</v>
      </c>
      <c r="B113" s="243" t="str">
        <f>'Expected NPV &amp; Common Data'!B$36</f>
        <v>units</v>
      </c>
      <c r="C113" s="244" t="str">
        <f>'Expected NPV &amp; Common Data'!C$36</f>
        <v>Total</v>
      </c>
      <c r="D113" s="245">
        <f>'Expected NPV &amp; Common Data'!D$36</f>
        <v>2027</v>
      </c>
      <c r="E113" s="245">
        <f>'Expected NPV &amp; Common Data'!E$36</f>
        <v>2028</v>
      </c>
      <c r="F113" s="245">
        <f>'Expected NPV &amp; Common Data'!F$36</f>
        <v>2029</v>
      </c>
      <c r="G113" s="245">
        <f>'Expected NPV &amp; Common Data'!G$36</f>
        <v>2030</v>
      </c>
      <c r="H113" s="245">
        <f>'Expected NPV &amp; Common Data'!H$36</f>
        <v>2031</v>
      </c>
      <c r="I113" s="245">
        <f>'Expected NPV &amp; Common Data'!I$36</f>
        <v>2032</v>
      </c>
      <c r="J113" s="245">
        <f>'Expected NPV &amp; Common Data'!J$36</f>
        <v>2033</v>
      </c>
      <c r="K113" s="245">
        <f>'Expected NPV &amp; Common Data'!K$36</f>
        <v>2034</v>
      </c>
      <c r="L113" s="245">
        <f>'Expected NPV &amp; Common Data'!L$36</f>
        <v>2035</v>
      </c>
      <c r="M113" s="245">
        <f>'Expected NPV &amp; Common Data'!M$36</f>
        <v>2036</v>
      </c>
      <c r="N113" s="245">
        <f>'Expected NPV &amp; Common Data'!N$36</f>
        <v>2037</v>
      </c>
      <c r="O113" s="245">
        <f>'Expected NPV &amp; Common Data'!O$36</f>
        <v>2038</v>
      </c>
      <c r="P113" s="245">
        <f>'Expected NPV &amp; Common Data'!P$36</f>
        <v>2039</v>
      </c>
      <c r="Q113" s="245">
        <f>'Expected NPV &amp; Common Data'!Q$36</f>
        <v>2040</v>
      </c>
      <c r="R113" s="245">
        <f>'Expected NPV &amp; Common Data'!R$36</f>
        <v>2041</v>
      </c>
      <c r="S113" s="245">
        <f>'Expected NPV &amp; Common Data'!S$36</f>
        <v>2042</v>
      </c>
      <c r="T113" s="245">
        <f>'Expected NPV &amp; Common Data'!T$36</f>
        <v>2043</v>
      </c>
      <c r="U113" s="245">
        <f>'Expected NPV &amp; Common Data'!U$36</f>
        <v>2044</v>
      </c>
      <c r="V113" s="245">
        <f>'Expected NPV &amp; Common Data'!V$36</f>
        <v>2045</v>
      </c>
      <c r="W113" s="245">
        <f>'Expected NPV &amp; Common Data'!W$36</f>
        <v>2046</v>
      </c>
      <c r="X113" s="245">
        <f>'Expected NPV &amp; Common Data'!X$36</f>
        <v>2047</v>
      </c>
      <c r="Y113" s="245">
        <f>'Expected NPV &amp; Common Data'!Y$36</f>
        <v>2048</v>
      </c>
      <c r="Z113" s="245">
        <f>'Expected NPV &amp; Common Data'!Z$36</f>
        <v>2049</v>
      </c>
      <c r="AA113" s="245">
        <f>'Expected NPV &amp; Common Data'!AA$36</f>
        <v>2050</v>
      </c>
      <c r="AB113" s="245">
        <f>'Expected NPV &amp; Common Data'!AB$36</f>
        <v>2051</v>
      </c>
      <c r="AC113" s="245">
        <f>'Expected NPV &amp; Common Data'!AC$36</f>
        <v>2052</v>
      </c>
      <c r="AD113" s="245">
        <f>'Expected NPV &amp; Common Data'!AD$36</f>
        <v>2053</v>
      </c>
    </row>
    <row r="114" spans="1:30" outlineLevel="1">
      <c r="A114" s="134" t="s">
        <v>544</v>
      </c>
      <c r="C114" s="42"/>
      <c r="D114" s="13"/>
      <c r="E114" s="13"/>
      <c r="F114" s="13"/>
      <c r="G114" s="13"/>
      <c r="H114" s="13"/>
      <c r="I114" s="42"/>
      <c r="J114" s="42"/>
      <c r="K114" s="42"/>
      <c r="L114" s="42"/>
      <c r="M114" s="42"/>
      <c r="N114" s="42"/>
      <c r="O114" s="42"/>
      <c r="P114" s="42"/>
      <c r="Q114" s="42"/>
      <c r="R114" s="42"/>
      <c r="S114" s="42"/>
      <c r="T114" s="42"/>
      <c r="U114" s="42"/>
      <c r="V114" s="42"/>
      <c r="W114" s="42"/>
      <c r="X114" s="42"/>
      <c r="Y114" s="42"/>
      <c r="Z114" s="42"/>
      <c r="AA114" s="42"/>
      <c r="AB114" s="42"/>
      <c r="AC114" s="42"/>
      <c r="AD114" s="42"/>
    </row>
    <row r="115" spans="1:30" outlineLevel="1">
      <c r="A115" s="31" t="s">
        <v>227</v>
      </c>
      <c r="C115" s="42"/>
      <c r="D115" s="13"/>
      <c r="E115" s="13"/>
      <c r="F115" s="13"/>
      <c r="G115" s="13"/>
      <c r="H115" s="13"/>
      <c r="I115" s="42"/>
      <c r="J115" s="42"/>
      <c r="K115" s="42"/>
      <c r="L115" s="42"/>
      <c r="M115" s="42"/>
      <c r="N115" s="42"/>
      <c r="O115" s="42"/>
      <c r="P115" s="42"/>
      <c r="Q115" s="42"/>
      <c r="R115" s="42"/>
      <c r="S115" s="42"/>
      <c r="T115" s="42"/>
      <c r="U115" s="42"/>
      <c r="V115" s="42"/>
      <c r="W115" s="42"/>
      <c r="X115" s="42"/>
      <c r="Y115" s="42"/>
      <c r="Z115" s="42"/>
      <c r="AA115" s="42"/>
      <c r="AB115" s="42"/>
      <c r="AC115" s="42"/>
      <c r="AD115" s="42"/>
    </row>
    <row r="116" spans="1:30" ht="14.4" customHeight="1" outlineLevel="1">
      <c r="A116" s="214" t="s">
        <v>233</v>
      </c>
      <c r="B116" s="214" t="s">
        <v>156</v>
      </c>
      <c r="C116" s="56">
        <f>SUM(D116:AD116)</f>
        <v>492</v>
      </c>
      <c r="D116" s="226"/>
      <c r="E116" s="219">
        <v>37</v>
      </c>
      <c r="F116" s="219">
        <v>37</v>
      </c>
      <c r="G116" s="219">
        <v>35</v>
      </c>
      <c r="H116" s="219">
        <v>60</v>
      </c>
      <c r="I116" s="219">
        <v>60</v>
      </c>
      <c r="J116" s="219">
        <v>48</v>
      </c>
      <c r="K116" s="219">
        <v>38</v>
      </c>
      <c r="L116" s="219">
        <v>38</v>
      </c>
      <c r="M116" s="219">
        <v>38</v>
      </c>
      <c r="N116" s="219">
        <v>38</v>
      </c>
      <c r="O116" s="219">
        <v>38</v>
      </c>
      <c r="P116" s="219">
        <v>25</v>
      </c>
      <c r="Q116" s="219"/>
      <c r="R116" s="219"/>
      <c r="S116" s="219"/>
      <c r="T116" s="219"/>
      <c r="U116" s="219"/>
      <c r="V116" s="219"/>
      <c r="W116" s="219"/>
      <c r="X116" s="219"/>
      <c r="Y116" s="219"/>
      <c r="Z116" s="219"/>
      <c r="AA116" s="219"/>
      <c r="AB116" s="219"/>
      <c r="AC116" s="219"/>
      <c r="AD116" s="219"/>
    </row>
    <row r="117" spans="1:30" ht="14.4" customHeight="1" outlineLevel="1">
      <c r="A117" s="214" t="s">
        <v>229</v>
      </c>
      <c r="B117" s="214" t="s">
        <v>156</v>
      </c>
      <c r="C117" s="56">
        <f>SUM(D117:AD117)</f>
        <v>52</v>
      </c>
      <c r="D117" s="226"/>
      <c r="E117" s="226"/>
      <c r="F117" s="339">
        <v>5</v>
      </c>
      <c r="G117" s="226">
        <v>7</v>
      </c>
      <c r="H117" s="226">
        <v>7</v>
      </c>
      <c r="I117" s="226">
        <v>7</v>
      </c>
      <c r="J117" s="226">
        <v>7</v>
      </c>
      <c r="K117" s="226">
        <v>4</v>
      </c>
      <c r="L117" s="226">
        <v>3</v>
      </c>
      <c r="M117" s="226">
        <v>3</v>
      </c>
      <c r="N117" s="226">
        <v>3</v>
      </c>
      <c r="O117" s="226">
        <v>3</v>
      </c>
      <c r="P117" s="226">
        <v>3</v>
      </c>
      <c r="Q117" s="226"/>
      <c r="R117" s="226"/>
      <c r="S117" s="226"/>
      <c r="T117" s="226"/>
      <c r="U117" s="226"/>
      <c r="V117" s="226"/>
      <c r="W117" s="226"/>
      <c r="X117" s="226"/>
      <c r="Y117" s="226"/>
      <c r="Z117" s="226"/>
      <c r="AA117" s="226"/>
      <c r="AB117" s="226"/>
      <c r="AC117" s="226"/>
      <c r="AD117" s="226"/>
    </row>
    <row r="118" spans="1:30" ht="14.4" customHeight="1" outlineLevel="1">
      <c r="A118" s="214" t="s">
        <v>97</v>
      </c>
      <c r="B118" s="214" t="s">
        <v>35</v>
      </c>
      <c r="C118" s="215">
        <f>C123/C117/1000</f>
        <v>8.7999999999999988E-3</v>
      </c>
      <c r="D118" s="216"/>
      <c r="E118" s="216"/>
      <c r="F118" s="340">
        <v>8.8000000000000005E-3</v>
      </c>
      <c r="G118" s="216">
        <f>F118</f>
        <v>8.8000000000000005E-3</v>
      </c>
      <c r="H118" s="216">
        <f t="shared" ref="H118:P118" si="17">G118</f>
        <v>8.8000000000000005E-3</v>
      </c>
      <c r="I118" s="216">
        <f t="shared" si="17"/>
        <v>8.8000000000000005E-3</v>
      </c>
      <c r="J118" s="216">
        <f t="shared" si="17"/>
        <v>8.8000000000000005E-3</v>
      </c>
      <c r="K118" s="216">
        <f t="shared" si="17"/>
        <v>8.8000000000000005E-3</v>
      </c>
      <c r="L118" s="216">
        <f t="shared" si="17"/>
        <v>8.8000000000000005E-3</v>
      </c>
      <c r="M118" s="216">
        <f t="shared" si="17"/>
        <v>8.8000000000000005E-3</v>
      </c>
      <c r="N118" s="216">
        <f t="shared" si="17"/>
        <v>8.8000000000000005E-3</v>
      </c>
      <c r="O118" s="216">
        <f t="shared" si="17"/>
        <v>8.8000000000000005E-3</v>
      </c>
      <c r="P118" s="216">
        <f t="shared" si="17"/>
        <v>8.8000000000000005E-3</v>
      </c>
      <c r="Q118" s="216"/>
      <c r="R118" s="216"/>
      <c r="S118" s="216"/>
      <c r="T118" s="216"/>
      <c r="U118" s="253"/>
      <c r="V118" s="253"/>
      <c r="W118" s="253"/>
      <c r="X118" s="253"/>
      <c r="Y118" s="253"/>
      <c r="Z118" s="253"/>
      <c r="AA118" s="253"/>
      <c r="AB118" s="253"/>
      <c r="AC118" s="253"/>
      <c r="AD118" s="253"/>
    </row>
    <row r="119" spans="1:30" ht="14.4" customHeight="1" outlineLevel="1">
      <c r="A119" s="214" t="s">
        <v>216</v>
      </c>
      <c r="B119" s="214" t="s">
        <v>217</v>
      </c>
      <c r="C119" s="254">
        <f>SUMPRODUCT(D$117:AD$117*D119:AD119)/C$117</f>
        <v>0.18</v>
      </c>
      <c r="D119" s="255"/>
      <c r="E119" s="255"/>
      <c r="F119" s="341">
        <v>0.18</v>
      </c>
      <c r="G119" s="255">
        <f>F119</f>
        <v>0.18</v>
      </c>
      <c r="H119" s="255">
        <f t="shared" ref="H119:P119" si="18">G119</f>
        <v>0.18</v>
      </c>
      <c r="I119" s="255">
        <f t="shared" si="18"/>
        <v>0.18</v>
      </c>
      <c r="J119" s="255">
        <f t="shared" si="18"/>
        <v>0.18</v>
      </c>
      <c r="K119" s="255">
        <f t="shared" si="18"/>
        <v>0.18</v>
      </c>
      <c r="L119" s="255">
        <f t="shared" si="18"/>
        <v>0.18</v>
      </c>
      <c r="M119" s="255">
        <f t="shared" si="18"/>
        <v>0.18</v>
      </c>
      <c r="N119" s="255">
        <f t="shared" si="18"/>
        <v>0.18</v>
      </c>
      <c r="O119" s="255">
        <f t="shared" si="18"/>
        <v>0.18</v>
      </c>
      <c r="P119" s="255">
        <f t="shared" si="18"/>
        <v>0.18</v>
      </c>
      <c r="Q119" s="255"/>
      <c r="R119" s="255"/>
      <c r="S119" s="255"/>
      <c r="T119" s="255"/>
      <c r="U119" s="255"/>
      <c r="V119" s="255"/>
      <c r="W119" s="255"/>
      <c r="X119" s="255"/>
      <c r="Y119" s="255"/>
      <c r="Z119" s="255"/>
      <c r="AA119" s="255"/>
      <c r="AB119" s="255"/>
      <c r="AC119" s="255"/>
      <c r="AD119" s="255"/>
    </row>
    <row r="120" spans="1:30" ht="14.4" customHeight="1" outlineLevel="1">
      <c r="A120" s="214" t="s">
        <v>219</v>
      </c>
      <c r="B120" s="214" t="s">
        <v>218</v>
      </c>
      <c r="C120" s="254">
        <f>SUMPRODUCT(D$117:AD$117*D120:AD120)/C$117</f>
        <v>2</v>
      </c>
      <c r="D120" s="255"/>
      <c r="E120" s="255"/>
      <c r="F120" s="256">
        <v>2</v>
      </c>
      <c r="G120" s="256">
        <f>F120</f>
        <v>2</v>
      </c>
      <c r="H120" s="256">
        <f t="shared" ref="H120:P120" si="19">G120</f>
        <v>2</v>
      </c>
      <c r="I120" s="256">
        <f t="shared" si="19"/>
        <v>2</v>
      </c>
      <c r="J120" s="256">
        <f t="shared" si="19"/>
        <v>2</v>
      </c>
      <c r="K120" s="256">
        <f t="shared" si="19"/>
        <v>2</v>
      </c>
      <c r="L120" s="256">
        <f t="shared" si="19"/>
        <v>2</v>
      </c>
      <c r="M120" s="256">
        <f t="shared" si="19"/>
        <v>2</v>
      </c>
      <c r="N120" s="256">
        <f t="shared" si="19"/>
        <v>2</v>
      </c>
      <c r="O120" s="256">
        <f t="shared" si="19"/>
        <v>2</v>
      </c>
      <c r="P120" s="256">
        <f t="shared" si="19"/>
        <v>2</v>
      </c>
      <c r="Q120" s="256"/>
      <c r="R120" s="256"/>
      <c r="S120" s="256"/>
      <c r="T120" s="256"/>
      <c r="U120" s="256"/>
      <c r="V120" s="256"/>
      <c r="W120" s="256"/>
      <c r="X120" s="256"/>
      <c r="Y120" s="256"/>
      <c r="Z120" s="256"/>
      <c r="AA120" s="256"/>
      <c r="AB120" s="256"/>
      <c r="AC120" s="256"/>
      <c r="AD120" s="256"/>
    </row>
    <row r="121" spans="1:30" ht="14.4" customHeight="1" outlineLevel="1">
      <c r="A121" s="214" t="s">
        <v>98</v>
      </c>
      <c r="B121" s="214" t="s">
        <v>99</v>
      </c>
      <c r="C121" s="215">
        <f>SUMPRODUCT(D$117:AD$117*D121:AD121)/C$117</f>
        <v>9.0000000000000019E-4</v>
      </c>
      <c r="D121" s="216"/>
      <c r="E121" s="216"/>
      <c r="F121" s="253">
        <v>8.9999999999999998E-4</v>
      </c>
      <c r="G121" s="216">
        <f>F121</f>
        <v>8.9999999999999998E-4</v>
      </c>
      <c r="H121" s="216">
        <f t="shared" ref="H121:P121" si="20">G121</f>
        <v>8.9999999999999998E-4</v>
      </c>
      <c r="I121" s="216">
        <f t="shared" si="20"/>
        <v>8.9999999999999998E-4</v>
      </c>
      <c r="J121" s="216">
        <f t="shared" si="20"/>
        <v>8.9999999999999998E-4</v>
      </c>
      <c r="K121" s="216">
        <f t="shared" si="20"/>
        <v>8.9999999999999998E-4</v>
      </c>
      <c r="L121" s="216">
        <f t="shared" si="20"/>
        <v>8.9999999999999998E-4</v>
      </c>
      <c r="M121" s="216">
        <f t="shared" si="20"/>
        <v>8.9999999999999998E-4</v>
      </c>
      <c r="N121" s="216">
        <f t="shared" si="20"/>
        <v>8.9999999999999998E-4</v>
      </c>
      <c r="O121" s="216">
        <f t="shared" si="20"/>
        <v>8.9999999999999998E-4</v>
      </c>
      <c r="P121" s="216">
        <f t="shared" si="20"/>
        <v>8.9999999999999998E-4</v>
      </c>
      <c r="Q121" s="216"/>
      <c r="R121" s="216"/>
      <c r="S121" s="216"/>
      <c r="T121" s="216"/>
      <c r="U121" s="253"/>
      <c r="V121" s="253"/>
      <c r="W121" s="253"/>
      <c r="X121" s="253"/>
      <c r="Y121" s="253"/>
      <c r="Z121" s="253"/>
      <c r="AA121" s="253"/>
      <c r="AB121" s="253"/>
      <c r="AC121" s="253"/>
      <c r="AD121" s="253"/>
    </row>
    <row r="122" spans="1:30" outlineLevel="1">
      <c r="A122" s="90"/>
      <c r="C122" s="89"/>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row>
    <row r="123" spans="1:30" outlineLevel="1">
      <c r="A123" s="13" t="s">
        <v>231</v>
      </c>
      <c r="B123" s="13" t="s">
        <v>38</v>
      </c>
      <c r="C123" s="44">
        <f>SUM(D123:AD123)</f>
        <v>457.59999999999991</v>
      </c>
      <c r="D123" s="42">
        <f t="shared" ref="D123:AD123" si="21">D117*D118*1000</f>
        <v>0</v>
      </c>
      <c r="E123" s="42">
        <f t="shared" si="21"/>
        <v>0</v>
      </c>
      <c r="F123" s="42">
        <f t="shared" si="21"/>
        <v>44.000000000000007</v>
      </c>
      <c r="G123" s="42">
        <f t="shared" si="21"/>
        <v>61.6</v>
      </c>
      <c r="H123" s="42">
        <f t="shared" si="21"/>
        <v>61.6</v>
      </c>
      <c r="I123" s="42">
        <f t="shared" si="21"/>
        <v>61.6</v>
      </c>
      <c r="J123" s="42">
        <f t="shared" si="21"/>
        <v>61.6</v>
      </c>
      <c r="K123" s="42">
        <f t="shared" si="21"/>
        <v>35.200000000000003</v>
      </c>
      <c r="L123" s="42">
        <f t="shared" si="21"/>
        <v>26.4</v>
      </c>
      <c r="M123" s="42">
        <f t="shared" si="21"/>
        <v>26.4</v>
      </c>
      <c r="N123" s="42">
        <f t="shared" si="21"/>
        <v>26.4</v>
      </c>
      <c r="O123" s="42">
        <f t="shared" si="21"/>
        <v>26.4</v>
      </c>
      <c r="P123" s="42">
        <f t="shared" si="21"/>
        <v>26.4</v>
      </c>
      <c r="Q123" s="42">
        <f t="shared" si="21"/>
        <v>0</v>
      </c>
      <c r="R123" s="42">
        <f t="shared" si="21"/>
        <v>0</v>
      </c>
      <c r="S123" s="42">
        <f t="shared" si="21"/>
        <v>0</v>
      </c>
      <c r="T123" s="42">
        <f t="shared" si="21"/>
        <v>0</v>
      </c>
      <c r="U123" s="42">
        <f t="shared" si="21"/>
        <v>0</v>
      </c>
      <c r="V123" s="42">
        <f t="shared" si="21"/>
        <v>0</v>
      </c>
      <c r="W123" s="42">
        <f t="shared" si="21"/>
        <v>0</v>
      </c>
      <c r="X123" s="42">
        <f t="shared" si="21"/>
        <v>0</v>
      </c>
      <c r="Y123" s="42">
        <f t="shared" si="21"/>
        <v>0</v>
      </c>
      <c r="Z123" s="42">
        <f t="shared" si="21"/>
        <v>0</v>
      </c>
      <c r="AA123" s="42">
        <f t="shared" si="21"/>
        <v>0</v>
      </c>
      <c r="AB123" s="42">
        <f t="shared" si="21"/>
        <v>0</v>
      </c>
      <c r="AC123" s="42">
        <f t="shared" si="21"/>
        <v>0</v>
      </c>
      <c r="AD123" s="42">
        <f t="shared" si="21"/>
        <v>0</v>
      </c>
    </row>
    <row r="124" spans="1:30" outlineLevel="1">
      <c r="A124" s="13" t="s">
        <v>246</v>
      </c>
      <c r="B124" s="13" t="s">
        <v>247</v>
      </c>
      <c r="C124" s="44">
        <f>SUM(D124:AD124)</f>
        <v>300.96463022508038</v>
      </c>
      <c r="D124" s="42">
        <f t="shared" ref="D124:AD124" si="22">D117*D119/31.1*1000</f>
        <v>0</v>
      </c>
      <c r="E124" s="42">
        <f t="shared" si="22"/>
        <v>0</v>
      </c>
      <c r="F124" s="42">
        <f t="shared" si="22"/>
        <v>28.938906752411572</v>
      </c>
      <c r="G124" s="42">
        <f t="shared" si="22"/>
        <v>40.514469453376201</v>
      </c>
      <c r="H124" s="42">
        <f t="shared" si="22"/>
        <v>40.514469453376201</v>
      </c>
      <c r="I124" s="42">
        <f t="shared" si="22"/>
        <v>40.514469453376201</v>
      </c>
      <c r="J124" s="42">
        <f t="shared" si="22"/>
        <v>40.514469453376201</v>
      </c>
      <c r="K124" s="42">
        <f t="shared" si="22"/>
        <v>23.15112540192926</v>
      </c>
      <c r="L124" s="42">
        <f t="shared" si="22"/>
        <v>17.363344051446948</v>
      </c>
      <c r="M124" s="42">
        <f t="shared" si="22"/>
        <v>17.363344051446948</v>
      </c>
      <c r="N124" s="42">
        <f t="shared" si="22"/>
        <v>17.363344051446948</v>
      </c>
      <c r="O124" s="42">
        <f t="shared" si="22"/>
        <v>17.363344051446948</v>
      </c>
      <c r="P124" s="42">
        <f t="shared" si="22"/>
        <v>17.363344051446948</v>
      </c>
      <c r="Q124" s="42">
        <f t="shared" si="22"/>
        <v>0</v>
      </c>
      <c r="R124" s="42">
        <f t="shared" si="22"/>
        <v>0</v>
      </c>
      <c r="S124" s="42">
        <f t="shared" si="22"/>
        <v>0</v>
      </c>
      <c r="T124" s="42">
        <f t="shared" si="22"/>
        <v>0</v>
      </c>
      <c r="U124" s="42">
        <f t="shared" si="22"/>
        <v>0</v>
      </c>
      <c r="V124" s="42">
        <f t="shared" si="22"/>
        <v>0</v>
      </c>
      <c r="W124" s="42">
        <f t="shared" si="22"/>
        <v>0</v>
      </c>
      <c r="X124" s="42">
        <f t="shared" si="22"/>
        <v>0</v>
      </c>
      <c r="Y124" s="42">
        <f t="shared" si="22"/>
        <v>0</v>
      </c>
      <c r="Z124" s="42">
        <f t="shared" si="22"/>
        <v>0</v>
      </c>
      <c r="AA124" s="42">
        <f t="shared" si="22"/>
        <v>0</v>
      </c>
      <c r="AB124" s="42">
        <f t="shared" si="22"/>
        <v>0</v>
      </c>
      <c r="AC124" s="42">
        <f t="shared" si="22"/>
        <v>0</v>
      </c>
      <c r="AD124" s="42">
        <f t="shared" si="22"/>
        <v>0</v>
      </c>
    </row>
    <row r="125" spans="1:30" outlineLevel="1">
      <c r="A125" s="13" t="s">
        <v>248</v>
      </c>
      <c r="B125" s="13" t="s">
        <v>247</v>
      </c>
      <c r="C125" s="44">
        <f>SUM(D125:AD125)</f>
        <v>3344.0514469453383</v>
      </c>
      <c r="D125" s="42">
        <f t="shared" ref="D125:AD125" si="23">D117*D120/31.1*1000</f>
        <v>0</v>
      </c>
      <c r="E125" s="42">
        <f t="shared" si="23"/>
        <v>0</v>
      </c>
      <c r="F125" s="42">
        <f t="shared" si="23"/>
        <v>321.54340836012864</v>
      </c>
      <c r="G125" s="42">
        <f t="shared" si="23"/>
        <v>450.16077170418004</v>
      </c>
      <c r="H125" s="42">
        <f t="shared" si="23"/>
        <v>450.16077170418004</v>
      </c>
      <c r="I125" s="42">
        <f t="shared" si="23"/>
        <v>450.16077170418004</v>
      </c>
      <c r="J125" s="42">
        <f t="shared" si="23"/>
        <v>450.16077170418004</v>
      </c>
      <c r="K125" s="42">
        <f t="shared" si="23"/>
        <v>257.23472668810285</v>
      </c>
      <c r="L125" s="42">
        <f t="shared" si="23"/>
        <v>192.92604501607715</v>
      </c>
      <c r="M125" s="42">
        <f t="shared" si="23"/>
        <v>192.92604501607715</v>
      </c>
      <c r="N125" s="42">
        <f t="shared" si="23"/>
        <v>192.92604501607715</v>
      </c>
      <c r="O125" s="42">
        <f t="shared" si="23"/>
        <v>192.92604501607715</v>
      </c>
      <c r="P125" s="42">
        <f t="shared" si="23"/>
        <v>192.92604501607715</v>
      </c>
      <c r="Q125" s="42">
        <f t="shared" si="23"/>
        <v>0</v>
      </c>
      <c r="R125" s="42">
        <f t="shared" si="23"/>
        <v>0</v>
      </c>
      <c r="S125" s="42">
        <f t="shared" si="23"/>
        <v>0</v>
      </c>
      <c r="T125" s="42">
        <f t="shared" si="23"/>
        <v>0</v>
      </c>
      <c r="U125" s="42">
        <f t="shared" si="23"/>
        <v>0</v>
      </c>
      <c r="V125" s="42">
        <f t="shared" si="23"/>
        <v>0</v>
      </c>
      <c r="W125" s="42">
        <f t="shared" si="23"/>
        <v>0</v>
      </c>
      <c r="X125" s="42">
        <f t="shared" si="23"/>
        <v>0</v>
      </c>
      <c r="Y125" s="42">
        <f t="shared" si="23"/>
        <v>0</v>
      </c>
      <c r="Z125" s="42">
        <f t="shared" si="23"/>
        <v>0</v>
      </c>
      <c r="AA125" s="42">
        <f t="shared" si="23"/>
        <v>0</v>
      </c>
      <c r="AB125" s="42">
        <f t="shared" si="23"/>
        <v>0</v>
      </c>
      <c r="AC125" s="42">
        <f t="shared" si="23"/>
        <v>0</v>
      </c>
      <c r="AD125" s="42">
        <f t="shared" si="23"/>
        <v>0</v>
      </c>
    </row>
    <row r="126" spans="1:30" outlineLevel="1">
      <c r="A126" s="13" t="s">
        <v>245</v>
      </c>
      <c r="B126" s="13" t="s">
        <v>38</v>
      </c>
      <c r="C126" s="44">
        <f>SUM(D126:AD126)</f>
        <v>46.800000000000018</v>
      </c>
      <c r="D126" s="42">
        <f t="shared" ref="D126:AD126" si="24">D117*D121*1000</f>
        <v>0</v>
      </c>
      <c r="E126" s="42">
        <f t="shared" si="24"/>
        <v>0</v>
      </c>
      <c r="F126" s="42">
        <f t="shared" si="24"/>
        <v>4.5</v>
      </c>
      <c r="G126" s="42">
        <f t="shared" si="24"/>
        <v>6.3</v>
      </c>
      <c r="H126" s="42">
        <f t="shared" si="24"/>
        <v>6.3</v>
      </c>
      <c r="I126" s="42">
        <f t="shared" si="24"/>
        <v>6.3</v>
      </c>
      <c r="J126" s="42">
        <f t="shared" si="24"/>
        <v>6.3</v>
      </c>
      <c r="K126" s="42">
        <f t="shared" si="24"/>
        <v>3.6</v>
      </c>
      <c r="L126" s="42">
        <f t="shared" si="24"/>
        <v>2.7</v>
      </c>
      <c r="M126" s="42">
        <f t="shared" si="24"/>
        <v>2.7</v>
      </c>
      <c r="N126" s="42">
        <f t="shared" si="24"/>
        <v>2.7</v>
      </c>
      <c r="O126" s="42">
        <f t="shared" si="24"/>
        <v>2.7</v>
      </c>
      <c r="P126" s="42">
        <f t="shared" si="24"/>
        <v>2.7</v>
      </c>
      <c r="Q126" s="42">
        <f t="shared" si="24"/>
        <v>0</v>
      </c>
      <c r="R126" s="42">
        <f t="shared" si="24"/>
        <v>0</v>
      </c>
      <c r="S126" s="42">
        <f t="shared" si="24"/>
        <v>0</v>
      </c>
      <c r="T126" s="42">
        <f t="shared" si="24"/>
        <v>0</v>
      </c>
      <c r="U126" s="42">
        <f t="shared" si="24"/>
        <v>0</v>
      </c>
      <c r="V126" s="42">
        <f t="shared" si="24"/>
        <v>0</v>
      </c>
      <c r="W126" s="42">
        <f t="shared" si="24"/>
        <v>0</v>
      </c>
      <c r="X126" s="42">
        <f t="shared" si="24"/>
        <v>0</v>
      </c>
      <c r="Y126" s="42">
        <f t="shared" si="24"/>
        <v>0</v>
      </c>
      <c r="Z126" s="42">
        <f t="shared" si="24"/>
        <v>0</v>
      </c>
      <c r="AA126" s="42">
        <f t="shared" si="24"/>
        <v>0</v>
      </c>
      <c r="AB126" s="42">
        <f t="shared" si="24"/>
        <v>0</v>
      </c>
      <c r="AC126" s="42">
        <f t="shared" si="24"/>
        <v>0</v>
      </c>
      <c r="AD126" s="42">
        <f t="shared" si="24"/>
        <v>0</v>
      </c>
    </row>
    <row r="127" spans="1:30" outlineLevel="1">
      <c r="C127" s="44"/>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row>
    <row r="128" spans="1:30" outlineLevel="1">
      <c r="A128" s="31" t="s">
        <v>228</v>
      </c>
      <c r="C128" s="42"/>
      <c r="D128" s="13"/>
      <c r="E128" s="13"/>
      <c r="F128" s="13"/>
      <c r="G128" s="13"/>
      <c r="H128" s="13"/>
      <c r="I128" s="42"/>
      <c r="J128" s="42"/>
      <c r="K128" s="42"/>
      <c r="L128" s="42"/>
      <c r="M128" s="42"/>
      <c r="N128" s="42"/>
      <c r="O128" s="42"/>
      <c r="P128" s="42"/>
      <c r="Q128" s="42"/>
      <c r="R128" s="42"/>
      <c r="S128" s="42"/>
      <c r="T128" s="42"/>
      <c r="U128" s="42"/>
      <c r="V128" s="42"/>
      <c r="W128" s="42"/>
      <c r="X128" s="42"/>
      <c r="Y128" s="42"/>
      <c r="Z128" s="42"/>
      <c r="AA128" s="42"/>
      <c r="AB128" s="42"/>
      <c r="AC128" s="42"/>
      <c r="AD128" s="42"/>
    </row>
    <row r="129" spans="1:30" ht="14.4" customHeight="1" outlineLevel="1">
      <c r="A129" s="214" t="s">
        <v>234</v>
      </c>
      <c r="B129" s="214" t="s">
        <v>156</v>
      </c>
      <c r="C129" s="56">
        <f>SUM(D129:AD129)</f>
        <v>547</v>
      </c>
      <c r="D129" s="226"/>
      <c r="E129" s="219"/>
      <c r="F129" s="219"/>
      <c r="G129" s="219"/>
      <c r="H129" s="219"/>
      <c r="I129" s="219"/>
      <c r="J129" s="219">
        <v>42</v>
      </c>
      <c r="K129" s="219">
        <v>52</v>
      </c>
      <c r="L129" s="219">
        <v>52</v>
      </c>
      <c r="M129" s="219">
        <v>52</v>
      </c>
      <c r="N129" s="219">
        <v>52</v>
      </c>
      <c r="O129" s="219">
        <v>52</v>
      </c>
      <c r="P129" s="219">
        <v>65</v>
      </c>
      <c r="Q129" s="219">
        <v>65</v>
      </c>
      <c r="R129" s="219">
        <v>65</v>
      </c>
      <c r="S129" s="219">
        <v>50</v>
      </c>
      <c r="T129" s="219"/>
      <c r="U129" s="219"/>
      <c r="V129" s="219"/>
      <c r="W129" s="219"/>
      <c r="X129" s="219"/>
      <c r="Y129" s="219"/>
      <c r="Z129" s="219"/>
      <c r="AA129" s="219"/>
      <c r="AB129" s="219"/>
      <c r="AC129" s="219"/>
      <c r="AD129" s="219"/>
    </row>
    <row r="130" spans="1:30" ht="14.4" customHeight="1" outlineLevel="1">
      <c r="A130" s="214" t="s">
        <v>230</v>
      </c>
      <c r="B130" s="214" t="s">
        <v>156</v>
      </c>
      <c r="C130" s="56">
        <f>SUM(D130:AD130)</f>
        <v>51</v>
      </c>
      <c r="D130" s="226"/>
      <c r="E130" s="226"/>
      <c r="F130" s="226"/>
      <c r="G130" s="226"/>
      <c r="H130" s="226"/>
      <c r="I130" s="226"/>
      <c r="J130" s="226"/>
      <c r="K130" s="339">
        <v>3</v>
      </c>
      <c r="L130" s="226">
        <v>4</v>
      </c>
      <c r="M130" s="226">
        <v>4</v>
      </c>
      <c r="N130" s="226">
        <v>4</v>
      </c>
      <c r="O130" s="226">
        <v>4</v>
      </c>
      <c r="P130" s="226">
        <v>4</v>
      </c>
      <c r="Q130" s="226">
        <v>7</v>
      </c>
      <c r="R130" s="226">
        <v>7</v>
      </c>
      <c r="S130" s="226">
        <v>7</v>
      </c>
      <c r="T130" s="226">
        <v>7</v>
      </c>
      <c r="U130" s="226">
        <v>0</v>
      </c>
      <c r="V130" s="226">
        <v>0</v>
      </c>
      <c r="W130" s="226">
        <v>0</v>
      </c>
      <c r="X130" s="226">
        <v>0</v>
      </c>
      <c r="Y130" s="226">
        <v>0</v>
      </c>
      <c r="Z130" s="226"/>
      <c r="AA130" s="226"/>
      <c r="AB130" s="226"/>
      <c r="AC130" s="226"/>
      <c r="AD130" s="226"/>
    </row>
    <row r="131" spans="1:30" ht="14.4" customHeight="1" outlineLevel="1">
      <c r="A131" s="214" t="s">
        <v>97</v>
      </c>
      <c r="B131" s="214" t="s">
        <v>35</v>
      </c>
      <c r="C131" s="215">
        <f>C134/C130/1000</f>
        <v>8.0000000000000002E-3</v>
      </c>
      <c r="D131" s="216"/>
      <c r="E131" s="216"/>
      <c r="F131" s="216"/>
      <c r="G131" s="216"/>
      <c r="H131" s="216"/>
      <c r="I131" s="216"/>
      <c r="J131" s="216"/>
      <c r="K131" s="340">
        <v>8.0000000000000002E-3</v>
      </c>
      <c r="L131" s="216">
        <f>K131</f>
        <v>8.0000000000000002E-3</v>
      </c>
      <c r="M131" s="216">
        <f t="shared" ref="M131:T131" si="25">L131</f>
        <v>8.0000000000000002E-3</v>
      </c>
      <c r="N131" s="216">
        <f t="shared" si="25"/>
        <v>8.0000000000000002E-3</v>
      </c>
      <c r="O131" s="216">
        <f t="shared" si="25"/>
        <v>8.0000000000000002E-3</v>
      </c>
      <c r="P131" s="216">
        <f t="shared" si="25"/>
        <v>8.0000000000000002E-3</v>
      </c>
      <c r="Q131" s="216">
        <f t="shared" si="25"/>
        <v>8.0000000000000002E-3</v>
      </c>
      <c r="R131" s="216">
        <f t="shared" si="25"/>
        <v>8.0000000000000002E-3</v>
      </c>
      <c r="S131" s="216">
        <f t="shared" si="25"/>
        <v>8.0000000000000002E-3</v>
      </c>
      <c r="T131" s="216">
        <f t="shared" si="25"/>
        <v>8.0000000000000002E-3</v>
      </c>
      <c r="U131" s="253"/>
      <c r="V131" s="253"/>
      <c r="W131" s="253"/>
      <c r="X131" s="253"/>
      <c r="Y131" s="253"/>
      <c r="Z131" s="253"/>
      <c r="AA131" s="253"/>
      <c r="AB131" s="253"/>
      <c r="AC131" s="253"/>
      <c r="AD131" s="253"/>
    </row>
    <row r="132" spans="1:30" ht="14.4" customHeight="1" outlineLevel="1">
      <c r="A132" s="214" t="s">
        <v>216</v>
      </c>
      <c r="B132" s="214" t="s">
        <v>217</v>
      </c>
      <c r="C132" s="254">
        <f>SUMPRODUCT(D$117:AD$117*D132:AD132)/C$117</f>
        <v>5.8461538461538461E-2</v>
      </c>
      <c r="D132" s="255"/>
      <c r="E132" s="255"/>
      <c r="F132" s="255"/>
      <c r="G132" s="255"/>
      <c r="H132" s="255"/>
      <c r="I132" s="255"/>
      <c r="J132" s="255"/>
      <c r="K132" s="341">
        <v>0.16</v>
      </c>
      <c r="L132" s="255">
        <f>K132</f>
        <v>0.16</v>
      </c>
      <c r="M132" s="255">
        <f t="shared" ref="M132:T132" si="26">L132</f>
        <v>0.16</v>
      </c>
      <c r="N132" s="255">
        <f t="shared" si="26"/>
        <v>0.16</v>
      </c>
      <c r="O132" s="255">
        <f t="shared" si="26"/>
        <v>0.16</v>
      </c>
      <c r="P132" s="255">
        <f t="shared" si="26"/>
        <v>0.16</v>
      </c>
      <c r="Q132" s="255">
        <f t="shared" si="26"/>
        <v>0.16</v>
      </c>
      <c r="R132" s="255">
        <f t="shared" si="26"/>
        <v>0.16</v>
      </c>
      <c r="S132" s="255">
        <f t="shared" si="26"/>
        <v>0.16</v>
      </c>
      <c r="T132" s="255">
        <f t="shared" si="26"/>
        <v>0.16</v>
      </c>
      <c r="U132" s="255"/>
      <c r="V132" s="255"/>
      <c r="W132" s="255"/>
      <c r="X132" s="255"/>
      <c r="Y132" s="255"/>
      <c r="Z132" s="255"/>
      <c r="AA132" s="255"/>
      <c r="AB132" s="255"/>
      <c r="AC132" s="255"/>
      <c r="AD132" s="255"/>
    </row>
    <row r="133" spans="1:30" outlineLevel="1">
      <c r="A133" s="90"/>
      <c r="C133" s="89"/>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row>
    <row r="134" spans="1:30" outlineLevel="1">
      <c r="A134" s="13" t="s">
        <v>232</v>
      </c>
      <c r="B134" s="13" t="s">
        <v>38</v>
      </c>
      <c r="C134" s="44">
        <f>SUM(D134:AD134)</f>
        <v>408</v>
      </c>
      <c r="D134" s="42">
        <f t="shared" ref="D134:AD134" si="27">D130*D131*1000</f>
        <v>0</v>
      </c>
      <c r="E134" s="42">
        <f t="shared" si="27"/>
        <v>0</v>
      </c>
      <c r="F134" s="42">
        <f t="shared" si="27"/>
        <v>0</v>
      </c>
      <c r="G134" s="42">
        <f t="shared" si="27"/>
        <v>0</v>
      </c>
      <c r="H134" s="42">
        <f t="shared" si="27"/>
        <v>0</v>
      </c>
      <c r="I134" s="42">
        <f t="shared" si="27"/>
        <v>0</v>
      </c>
      <c r="J134" s="42">
        <f t="shared" si="27"/>
        <v>0</v>
      </c>
      <c r="K134" s="42">
        <f t="shared" si="27"/>
        <v>24</v>
      </c>
      <c r="L134" s="42">
        <f t="shared" si="27"/>
        <v>32</v>
      </c>
      <c r="M134" s="42">
        <f t="shared" si="27"/>
        <v>32</v>
      </c>
      <c r="N134" s="42">
        <f t="shared" si="27"/>
        <v>32</v>
      </c>
      <c r="O134" s="42">
        <f t="shared" si="27"/>
        <v>32</v>
      </c>
      <c r="P134" s="42">
        <f t="shared" si="27"/>
        <v>32</v>
      </c>
      <c r="Q134" s="42">
        <f t="shared" si="27"/>
        <v>56</v>
      </c>
      <c r="R134" s="42">
        <f t="shared" si="27"/>
        <v>56</v>
      </c>
      <c r="S134" s="42">
        <f t="shared" si="27"/>
        <v>56</v>
      </c>
      <c r="T134" s="42">
        <f t="shared" si="27"/>
        <v>56</v>
      </c>
      <c r="U134" s="42">
        <f t="shared" si="27"/>
        <v>0</v>
      </c>
      <c r="V134" s="42">
        <f t="shared" si="27"/>
        <v>0</v>
      </c>
      <c r="W134" s="42">
        <f t="shared" si="27"/>
        <v>0</v>
      </c>
      <c r="X134" s="42">
        <f t="shared" si="27"/>
        <v>0</v>
      </c>
      <c r="Y134" s="42">
        <f t="shared" si="27"/>
        <v>0</v>
      </c>
      <c r="Z134" s="42">
        <f t="shared" si="27"/>
        <v>0</v>
      </c>
      <c r="AA134" s="42">
        <f t="shared" si="27"/>
        <v>0</v>
      </c>
      <c r="AB134" s="42">
        <f t="shared" si="27"/>
        <v>0</v>
      </c>
      <c r="AC134" s="42">
        <f t="shared" si="27"/>
        <v>0</v>
      </c>
      <c r="AD134" s="42">
        <f t="shared" si="27"/>
        <v>0</v>
      </c>
    </row>
    <row r="135" spans="1:30" outlineLevel="1">
      <c r="A135" s="13" t="s">
        <v>246</v>
      </c>
      <c r="B135" s="13" t="s">
        <v>247</v>
      </c>
      <c r="C135" s="44">
        <f>SUM(D135:AD135)</f>
        <v>254.20560747663552</v>
      </c>
      <c r="D135" s="42">
        <f t="shared" ref="D135:AD135" si="28">D130*D132/32.1*1000</f>
        <v>0</v>
      </c>
      <c r="E135" s="42">
        <f t="shared" si="28"/>
        <v>0</v>
      </c>
      <c r="F135" s="42">
        <f t="shared" si="28"/>
        <v>0</v>
      </c>
      <c r="G135" s="42">
        <f t="shared" si="28"/>
        <v>0</v>
      </c>
      <c r="H135" s="42">
        <f t="shared" si="28"/>
        <v>0</v>
      </c>
      <c r="I135" s="42">
        <f t="shared" si="28"/>
        <v>0</v>
      </c>
      <c r="J135" s="42">
        <f t="shared" si="28"/>
        <v>0</v>
      </c>
      <c r="K135" s="42">
        <f t="shared" si="28"/>
        <v>14.953271028037381</v>
      </c>
      <c r="L135" s="42">
        <f t="shared" si="28"/>
        <v>19.937694704049846</v>
      </c>
      <c r="M135" s="42">
        <f t="shared" si="28"/>
        <v>19.937694704049846</v>
      </c>
      <c r="N135" s="42">
        <f t="shared" si="28"/>
        <v>19.937694704049846</v>
      </c>
      <c r="O135" s="42">
        <f t="shared" si="28"/>
        <v>19.937694704049846</v>
      </c>
      <c r="P135" s="42">
        <f t="shared" si="28"/>
        <v>19.937694704049846</v>
      </c>
      <c r="Q135" s="42">
        <f t="shared" si="28"/>
        <v>34.890965732087224</v>
      </c>
      <c r="R135" s="42">
        <f t="shared" si="28"/>
        <v>34.890965732087224</v>
      </c>
      <c r="S135" s="42">
        <f t="shared" si="28"/>
        <v>34.890965732087224</v>
      </c>
      <c r="T135" s="42">
        <f t="shared" si="28"/>
        <v>34.890965732087224</v>
      </c>
      <c r="U135" s="42">
        <f t="shared" si="28"/>
        <v>0</v>
      </c>
      <c r="V135" s="42">
        <f t="shared" si="28"/>
        <v>0</v>
      </c>
      <c r="W135" s="42">
        <f t="shared" si="28"/>
        <v>0</v>
      </c>
      <c r="X135" s="42">
        <f t="shared" si="28"/>
        <v>0</v>
      </c>
      <c r="Y135" s="42">
        <f t="shared" si="28"/>
        <v>0</v>
      </c>
      <c r="Z135" s="42">
        <f t="shared" si="28"/>
        <v>0</v>
      </c>
      <c r="AA135" s="42">
        <f t="shared" si="28"/>
        <v>0</v>
      </c>
      <c r="AB135" s="42">
        <f t="shared" si="28"/>
        <v>0</v>
      </c>
      <c r="AC135" s="42">
        <f t="shared" si="28"/>
        <v>0</v>
      </c>
      <c r="AD135" s="42">
        <f t="shared" si="28"/>
        <v>0</v>
      </c>
    </row>
    <row r="136" spans="1:30" outlineLevel="1">
      <c r="C136" s="44"/>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row>
    <row r="137" spans="1:30" outlineLevel="1">
      <c r="A137" s="31" t="s">
        <v>235</v>
      </c>
      <c r="C137" s="42"/>
      <c r="D137" s="13"/>
      <c r="E137" s="13"/>
      <c r="F137" s="13"/>
      <c r="G137" s="13"/>
      <c r="H137" s="13"/>
      <c r="I137" s="42"/>
      <c r="J137" s="42"/>
      <c r="K137" s="42"/>
      <c r="L137" s="42"/>
      <c r="M137" s="42"/>
      <c r="N137" s="42"/>
      <c r="O137" s="42"/>
      <c r="P137" s="42"/>
      <c r="Q137" s="42"/>
      <c r="R137" s="42"/>
      <c r="S137" s="42"/>
      <c r="T137" s="42"/>
      <c r="U137" s="42"/>
      <c r="V137" s="42"/>
      <c r="W137" s="42"/>
      <c r="X137" s="42"/>
      <c r="Y137" s="42"/>
      <c r="Z137" s="42"/>
      <c r="AA137" s="42"/>
      <c r="AB137" s="42"/>
      <c r="AC137" s="42"/>
      <c r="AD137" s="42"/>
    </row>
    <row r="138" spans="1:30" outlineLevel="1">
      <c r="A138" s="13" t="s">
        <v>236</v>
      </c>
      <c r="B138" s="13" t="s">
        <v>192</v>
      </c>
      <c r="C138" s="44">
        <f>SUM(D138:AD138)</f>
        <v>1039</v>
      </c>
      <c r="D138" s="42">
        <f t="shared" ref="D138:AD139" si="29">D116+D129</f>
        <v>0</v>
      </c>
      <c r="E138" s="42">
        <f t="shared" si="29"/>
        <v>37</v>
      </c>
      <c r="F138" s="42">
        <f t="shared" si="29"/>
        <v>37</v>
      </c>
      <c r="G138" s="42">
        <f t="shared" si="29"/>
        <v>35</v>
      </c>
      <c r="H138" s="42">
        <f t="shared" si="29"/>
        <v>60</v>
      </c>
      <c r="I138" s="42">
        <f t="shared" si="29"/>
        <v>60</v>
      </c>
      <c r="J138" s="42">
        <f t="shared" si="29"/>
        <v>90</v>
      </c>
      <c r="K138" s="42">
        <f t="shared" si="29"/>
        <v>90</v>
      </c>
      <c r="L138" s="42">
        <f t="shared" si="29"/>
        <v>90</v>
      </c>
      <c r="M138" s="42">
        <f t="shared" si="29"/>
        <v>90</v>
      </c>
      <c r="N138" s="42">
        <f t="shared" si="29"/>
        <v>90</v>
      </c>
      <c r="O138" s="42">
        <f t="shared" si="29"/>
        <v>90</v>
      </c>
      <c r="P138" s="42">
        <f t="shared" si="29"/>
        <v>90</v>
      </c>
      <c r="Q138" s="42">
        <f t="shared" si="29"/>
        <v>65</v>
      </c>
      <c r="R138" s="42">
        <f t="shared" si="29"/>
        <v>65</v>
      </c>
      <c r="S138" s="42">
        <f t="shared" si="29"/>
        <v>50</v>
      </c>
      <c r="T138" s="42">
        <f t="shared" si="29"/>
        <v>0</v>
      </c>
      <c r="U138" s="42">
        <f t="shared" si="29"/>
        <v>0</v>
      </c>
      <c r="V138" s="42">
        <f t="shared" si="29"/>
        <v>0</v>
      </c>
      <c r="W138" s="42">
        <f t="shared" si="29"/>
        <v>0</v>
      </c>
      <c r="X138" s="42">
        <f t="shared" si="29"/>
        <v>0</v>
      </c>
      <c r="Y138" s="42">
        <f t="shared" si="29"/>
        <v>0</v>
      </c>
      <c r="Z138" s="42">
        <f t="shared" si="29"/>
        <v>0</v>
      </c>
      <c r="AA138" s="42">
        <f t="shared" si="29"/>
        <v>0</v>
      </c>
      <c r="AB138" s="42">
        <f t="shared" si="29"/>
        <v>0</v>
      </c>
      <c r="AC138" s="42">
        <f t="shared" si="29"/>
        <v>0</v>
      </c>
      <c r="AD138" s="42">
        <f t="shared" si="29"/>
        <v>0</v>
      </c>
    </row>
    <row r="139" spans="1:30" outlineLevel="1">
      <c r="A139" s="13" t="s">
        <v>237</v>
      </c>
      <c r="B139" s="13" t="s">
        <v>192</v>
      </c>
      <c r="C139" s="44">
        <f>SUM(D139:AD139)</f>
        <v>103</v>
      </c>
      <c r="D139" s="42">
        <f t="shared" si="29"/>
        <v>0</v>
      </c>
      <c r="E139" s="42">
        <f t="shared" si="29"/>
        <v>0</v>
      </c>
      <c r="F139" s="42">
        <f t="shared" si="29"/>
        <v>5</v>
      </c>
      <c r="G139" s="42">
        <f t="shared" si="29"/>
        <v>7</v>
      </c>
      <c r="H139" s="42">
        <f t="shared" si="29"/>
        <v>7</v>
      </c>
      <c r="I139" s="42">
        <f t="shared" si="29"/>
        <v>7</v>
      </c>
      <c r="J139" s="42">
        <f t="shared" si="29"/>
        <v>7</v>
      </c>
      <c r="K139" s="42">
        <f t="shared" si="29"/>
        <v>7</v>
      </c>
      <c r="L139" s="42">
        <f t="shared" si="29"/>
        <v>7</v>
      </c>
      <c r="M139" s="42">
        <f t="shared" si="29"/>
        <v>7</v>
      </c>
      <c r="N139" s="42">
        <f t="shared" si="29"/>
        <v>7</v>
      </c>
      <c r="O139" s="42">
        <f t="shared" si="29"/>
        <v>7</v>
      </c>
      <c r="P139" s="42">
        <f t="shared" si="29"/>
        <v>7</v>
      </c>
      <c r="Q139" s="42">
        <f t="shared" si="29"/>
        <v>7</v>
      </c>
      <c r="R139" s="42">
        <f t="shared" si="29"/>
        <v>7</v>
      </c>
      <c r="S139" s="42">
        <f t="shared" si="29"/>
        <v>7</v>
      </c>
      <c r="T139" s="42">
        <f t="shared" si="29"/>
        <v>7</v>
      </c>
      <c r="U139" s="42">
        <f t="shared" si="29"/>
        <v>0</v>
      </c>
      <c r="V139" s="42">
        <f t="shared" si="29"/>
        <v>0</v>
      </c>
      <c r="W139" s="42">
        <f t="shared" si="29"/>
        <v>0</v>
      </c>
      <c r="X139" s="42">
        <f t="shared" si="29"/>
        <v>0</v>
      </c>
      <c r="Y139" s="42">
        <f t="shared" si="29"/>
        <v>0</v>
      </c>
      <c r="Z139" s="42">
        <f t="shared" si="29"/>
        <v>0</v>
      </c>
      <c r="AA139" s="42">
        <f t="shared" si="29"/>
        <v>0</v>
      </c>
      <c r="AB139" s="42">
        <f t="shared" si="29"/>
        <v>0</v>
      </c>
      <c r="AC139" s="42">
        <f t="shared" si="29"/>
        <v>0</v>
      </c>
      <c r="AD139" s="42">
        <f t="shared" si="29"/>
        <v>0</v>
      </c>
    </row>
    <row r="140" spans="1:30" outlineLevel="1">
      <c r="A140" s="13" t="s">
        <v>238</v>
      </c>
      <c r="B140" s="13" t="s">
        <v>38</v>
      </c>
      <c r="C140" s="44">
        <f>SUM(D140:AD140)</f>
        <v>865.59999999999991</v>
      </c>
      <c r="D140" s="42">
        <f t="shared" ref="D140:AD140" si="30">D123+D134</f>
        <v>0</v>
      </c>
      <c r="E140" s="42">
        <f t="shared" si="30"/>
        <v>0</v>
      </c>
      <c r="F140" s="42">
        <f t="shared" si="30"/>
        <v>44.000000000000007</v>
      </c>
      <c r="G140" s="42">
        <f t="shared" si="30"/>
        <v>61.6</v>
      </c>
      <c r="H140" s="42">
        <f t="shared" si="30"/>
        <v>61.6</v>
      </c>
      <c r="I140" s="42">
        <f t="shared" si="30"/>
        <v>61.6</v>
      </c>
      <c r="J140" s="42">
        <f t="shared" si="30"/>
        <v>61.6</v>
      </c>
      <c r="K140" s="42">
        <f t="shared" si="30"/>
        <v>59.2</v>
      </c>
      <c r="L140" s="42">
        <f t="shared" si="30"/>
        <v>58.4</v>
      </c>
      <c r="M140" s="42">
        <f t="shared" si="30"/>
        <v>58.4</v>
      </c>
      <c r="N140" s="42">
        <f t="shared" si="30"/>
        <v>58.4</v>
      </c>
      <c r="O140" s="42">
        <f t="shared" si="30"/>
        <v>58.4</v>
      </c>
      <c r="P140" s="42">
        <f t="shared" si="30"/>
        <v>58.4</v>
      </c>
      <c r="Q140" s="42">
        <f t="shared" si="30"/>
        <v>56</v>
      </c>
      <c r="R140" s="42">
        <f t="shared" si="30"/>
        <v>56</v>
      </c>
      <c r="S140" s="42">
        <f t="shared" si="30"/>
        <v>56</v>
      </c>
      <c r="T140" s="42">
        <f t="shared" si="30"/>
        <v>56</v>
      </c>
      <c r="U140" s="42">
        <f t="shared" si="30"/>
        <v>0</v>
      </c>
      <c r="V140" s="42">
        <f t="shared" si="30"/>
        <v>0</v>
      </c>
      <c r="W140" s="42">
        <f t="shared" si="30"/>
        <v>0</v>
      </c>
      <c r="X140" s="42">
        <f t="shared" si="30"/>
        <v>0</v>
      </c>
      <c r="Y140" s="42">
        <f t="shared" si="30"/>
        <v>0</v>
      </c>
      <c r="Z140" s="42">
        <f t="shared" si="30"/>
        <v>0</v>
      </c>
      <c r="AA140" s="42">
        <f t="shared" si="30"/>
        <v>0</v>
      </c>
      <c r="AB140" s="42">
        <f t="shared" si="30"/>
        <v>0</v>
      </c>
      <c r="AC140" s="42">
        <f t="shared" si="30"/>
        <v>0</v>
      </c>
      <c r="AD140" s="42">
        <f t="shared" si="30"/>
        <v>0</v>
      </c>
    </row>
    <row r="141" spans="1:30" outlineLevel="1">
      <c r="C141" s="44"/>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row>
    <row r="142" spans="1:30" outlineLevel="1">
      <c r="A142" s="31" t="s">
        <v>39</v>
      </c>
      <c r="C142" s="42"/>
      <c r="D142" s="13"/>
      <c r="E142" s="13"/>
      <c r="F142" s="13"/>
      <c r="G142" s="13"/>
      <c r="H142" s="13"/>
      <c r="I142" s="42"/>
      <c r="J142" s="42"/>
      <c r="K142" s="42"/>
      <c r="L142" s="42"/>
      <c r="M142" s="42"/>
      <c r="N142" s="42"/>
      <c r="O142" s="42"/>
      <c r="P142" s="42"/>
      <c r="Q142" s="42"/>
      <c r="R142" s="42"/>
      <c r="S142" s="42"/>
      <c r="T142" s="42"/>
      <c r="U142" s="42"/>
      <c r="V142" s="42"/>
      <c r="W142" s="42"/>
      <c r="X142" s="42"/>
      <c r="Y142" s="42"/>
      <c r="Z142" s="42"/>
      <c r="AA142" s="42"/>
      <c r="AB142" s="42"/>
      <c r="AC142" s="42"/>
      <c r="AD142" s="42"/>
    </row>
    <row r="143" spans="1:30" outlineLevel="1">
      <c r="A143" s="134" t="s">
        <v>545</v>
      </c>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row>
    <row r="144" spans="1:30" ht="14.4" customHeight="1" outlineLevel="1">
      <c r="A144" s="214" t="s">
        <v>39</v>
      </c>
      <c r="B144" s="214" t="s">
        <v>8</v>
      </c>
      <c r="C144" s="254">
        <f>SUMPRODUCT(D$117:AD$117*D144:AD144)/C$117</f>
        <v>6</v>
      </c>
      <c r="D144" s="255"/>
      <c r="E144" s="255"/>
      <c r="F144" s="257">
        <v>6</v>
      </c>
      <c r="G144" s="257">
        <f t="shared" ref="G144:T144" si="31">F144</f>
        <v>6</v>
      </c>
      <c r="H144" s="257">
        <f t="shared" si="31"/>
        <v>6</v>
      </c>
      <c r="I144" s="257">
        <f t="shared" si="31"/>
        <v>6</v>
      </c>
      <c r="J144" s="257">
        <f t="shared" si="31"/>
        <v>6</v>
      </c>
      <c r="K144" s="257">
        <f t="shared" si="31"/>
        <v>6</v>
      </c>
      <c r="L144" s="257">
        <f t="shared" si="31"/>
        <v>6</v>
      </c>
      <c r="M144" s="257">
        <f t="shared" si="31"/>
        <v>6</v>
      </c>
      <c r="N144" s="257">
        <f t="shared" si="31"/>
        <v>6</v>
      </c>
      <c r="O144" s="257">
        <f t="shared" si="31"/>
        <v>6</v>
      </c>
      <c r="P144" s="257">
        <f t="shared" si="31"/>
        <v>6</v>
      </c>
      <c r="Q144" s="257">
        <f t="shared" si="31"/>
        <v>6</v>
      </c>
      <c r="R144" s="257">
        <f t="shared" si="31"/>
        <v>6</v>
      </c>
      <c r="S144" s="257">
        <f t="shared" si="31"/>
        <v>6</v>
      </c>
      <c r="T144" s="257">
        <f t="shared" si="31"/>
        <v>6</v>
      </c>
      <c r="U144" s="257"/>
      <c r="V144" s="257"/>
      <c r="W144" s="257"/>
      <c r="X144" s="257"/>
      <c r="Y144" s="257"/>
      <c r="Z144" s="257"/>
      <c r="AA144" s="257"/>
      <c r="AB144" s="257"/>
      <c r="AC144" s="257"/>
      <c r="AD144" s="257"/>
    </row>
    <row r="145" spans="1:30" outlineLevel="1">
      <c r="A145" s="13" t="s">
        <v>239</v>
      </c>
      <c r="B145" s="13" t="s">
        <v>192</v>
      </c>
      <c r="C145" s="44"/>
      <c r="D145" s="56">
        <f t="shared" ref="D145:AC145" si="32">IF(D117=0,0,E117/52*D144)</f>
        <v>0</v>
      </c>
      <c r="E145" s="56">
        <f t="shared" si="32"/>
        <v>0</v>
      </c>
      <c r="F145" s="56">
        <f t="shared" si="32"/>
        <v>0.80769230769230771</v>
      </c>
      <c r="G145" s="56">
        <f t="shared" si="32"/>
        <v>0.80769230769230771</v>
      </c>
      <c r="H145" s="56">
        <f t="shared" si="32"/>
        <v>0.80769230769230771</v>
      </c>
      <c r="I145" s="56">
        <f t="shared" si="32"/>
        <v>0.80769230769230771</v>
      </c>
      <c r="J145" s="56">
        <f t="shared" si="32"/>
        <v>0.46153846153846156</v>
      </c>
      <c r="K145" s="56">
        <f t="shared" si="32"/>
        <v>0.34615384615384615</v>
      </c>
      <c r="L145" s="56">
        <f t="shared" si="32"/>
        <v>0.34615384615384615</v>
      </c>
      <c r="M145" s="56">
        <f t="shared" si="32"/>
        <v>0.34615384615384615</v>
      </c>
      <c r="N145" s="56">
        <f t="shared" si="32"/>
        <v>0.34615384615384615</v>
      </c>
      <c r="O145" s="56">
        <f t="shared" si="32"/>
        <v>0.34615384615384615</v>
      </c>
      <c r="P145" s="56">
        <f t="shared" si="32"/>
        <v>0</v>
      </c>
      <c r="Q145" s="56">
        <f t="shared" si="32"/>
        <v>0</v>
      </c>
      <c r="R145" s="56">
        <f t="shared" si="32"/>
        <v>0</v>
      </c>
      <c r="S145" s="56">
        <f t="shared" si="32"/>
        <v>0</v>
      </c>
      <c r="T145" s="56">
        <f t="shared" si="32"/>
        <v>0</v>
      </c>
      <c r="U145" s="56">
        <f t="shared" si="32"/>
        <v>0</v>
      </c>
      <c r="V145" s="56">
        <f t="shared" si="32"/>
        <v>0</v>
      </c>
      <c r="W145" s="56">
        <f t="shared" si="32"/>
        <v>0</v>
      </c>
      <c r="X145" s="56">
        <f t="shared" si="32"/>
        <v>0</v>
      </c>
      <c r="Y145" s="56">
        <f t="shared" si="32"/>
        <v>0</v>
      </c>
      <c r="Z145" s="56">
        <f t="shared" si="32"/>
        <v>0</v>
      </c>
      <c r="AA145" s="56">
        <f t="shared" si="32"/>
        <v>0</v>
      </c>
      <c r="AB145" s="56">
        <f t="shared" si="32"/>
        <v>0</v>
      </c>
      <c r="AC145" s="56">
        <f t="shared" si="32"/>
        <v>0</v>
      </c>
      <c r="AD145" s="56">
        <f>IF(AD117=0,0,#REF!/52*AD144)</f>
        <v>0</v>
      </c>
    </row>
    <row r="146" spans="1:30" outlineLevel="1">
      <c r="A146" s="13" t="s">
        <v>240</v>
      </c>
      <c r="B146" s="13" t="s">
        <v>192</v>
      </c>
      <c r="C146" s="44"/>
      <c r="D146" s="56">
        <f t="shared" ref="D146:AC146" si="33">IF(D130=0,0,E130/52*D144)</f>
        <v>0</v>
      </c>
      <c r="E146" s="56">
        <f t="shared" si="33"/>
        <v>0</v>
      </c>
      <c r="F146" s="56">
        <f t="shared" si="33"/>
        <v>0</v>
      </c>
      <c r="G146" s="56">
        <f t="shared" si="33"/>
        <v>0</v>
      </c>
      <c r="H146" s="56">
        <f t="shared" si="33"/>
        <v>0</v>
      </c>
      <c r="I146" s="56">
        <f t="shared" si="33"/>
        <v>0</v>
      </c>
      <c r="J146" s="56">
        <f t="shared" si="33"/>
        <v>0</v>
      </c>
      <c r="K146" s="56">
        <f t="shared" si="33"/>
        <v>0.46153846153846156</v>
      </c>
      <c r="L146" s="56">
        <f t="shared" si="33"/>
        <v>0.46153846153846156</v>
      </c>
      <c r="M146" s="56">
        <f t="shared" si="33"/>
        <v>0.46153846153846156</v>
      </c>
      <c r="N146" s="56">
        <f t="shared" si="33"/>
        <v>0.46153846153846156</v>
      </c>
      <c r="O146" s="56">
        <f t="shared" si="33"/>
        <v>0.46153846153846156</v>
      </c>
      <c r="P146" s="56">
        <f t="shared" si="33"/>
        <v>0.80769230769230771</v>
      </c>
      <c r="Q146" s="56">
        <f t="shared" si="33"/>
        <v>0.80769230769230771</v>
      </c>
      <c r="R146" s="56">
        <f t="shared" si="33"/>
        <v>0.80769230769230771</v>
      </c>
      <c r="S146" s="56">
        <f t="shared" si="33"/>
        <v>0.80769230769230771</v>
      </c>
      <c r="T146" s="56">
        <f t="shared" si="33"/>
        <v>0</v>
      </c>
      <c r="U146" s="56">
        <f t="shared" si="33"/>
        <v>0</v>
      </c>
      <c r="V146" s="56">
        <f t="shared" si="33"/>
        <v>0</v>
      </c>
      <c r="W146" s="56">
        <f t="shared" si="33"/>
        <v>0</v>
      </c>
      <c r="X146" s="56">
        <f t="shared" si="33"/>
        <v>0</v>
      </c>
      <c r="Y146" s="56">
        <f t="shared" si="33"/>
        <v>0</v>
      </c>
      <c r="Z146" s="56">
        <f t="shared" si="33"/>
        <v>0</v>
      </c>
      <c r="AA146" s="56">
        <f t="shared" si="33"/>
        <v>0</v>
      </c>
      <c r="AB146" s="56">
        <f t="shared" si="33"/>
        <v>0</v>
      </c>
      <c r="AC146" s="56">
        <f t="shared" si="33"/>
        <v>0</v>
      </c>
      <c r="AD146" s="56">
        <f>IF(AD130=0,0,#REF!/52*AD144)</f>
        <v>0</v>
      </c>
    </row>
    <row r="147" spans="1:30" outlineLevel="1">
      <c r="A147" s="90"/>
      <c r="C147" s="88"/>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row>
    <row r="148" spans="1:30" ht="51" customHeight="1">
      <c r="A148" s="23" t="s">
        <v>195</v>
      </c>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row>
    <row r="149" spans="1:30" s="8" customFormat="1" ht="15.5" outlineLevel="1">
      <c r="A149" s="242" t="str">
        <f>'Expected NPV &amp; Common Data'!A$36</f>
        <v>Calendar Year --&gt;</v>
      </c>
      <c r="B149" s="243" t="str">
        <f>'Expected NPV &amp; Common Data'!B$36</f>
        <v>units</v>
      </c>
      <c r="C149" s="244" t="str">
        <f>'Expected NPV &amp; Common Data'!C$36</f>
        <v>Total</v>
      </c>
      <c r="D149" s="245">
        <f>'Expected NPV &amp; Common Data'!D$36</f>
        <v>2027</v>
      </c>
      <c r="E149" s="245">
        <f>'Expected NPV &amp; Common Data'!E$36</f>
        <v>2028</v>
      </c>
      <c r="F149" s="245">
        <f>'Expected NPV &amp; Common Data'!F$36</f>
        <v>2029</v>
      </c>
      <c r="G149" s="245">
        <f>'Expected NPV &amp; Common Data'!G$36</f>
        <v>2030</v>
      </c>
      <c r="H149" s="245">
        <f>'Expected NPV &amp; Common Data'!H$36</f>
        <v>2031</v>
      </c>
      <c r="I149" s="245">
        <f>'Expected NPV &amp; Common Data'!I$36</f>
        <v>2032</v>
      </c>
      <c r="J149" s="245">
        <f>'Expected NPV &amp; Common Data'!J$36</f>
        <v>2033</v>
      </c>
      <c r="K149" s="245">
        <f>'Expected NPV &amp; Common Data'!K$36</f>
        <v>2034</v>
      </c>
      <c r="L149" s="245">
        <f>'Expected NPV &amp; Common Data'!L$36</f>
        <v>2035</v>
      </c>
      <c r="M149" s="245">
        <f>'Expected NPV &amp; Common Data'!M$36</f>
        <v>2036</v>
      </c>
      <c r="N149" s="245">
        <f>'Expected NPV &amp; Common Data'!N$36</f>
        <v>2037</v>
      </c>
      <c r="O149" s="245">
        <f>'Expected NPV &amp; Common Data'!O$36</f>
        <v>2038</v>
      </c>
      <c r="P149" s="245">
        <f>'Expected NPV &amp; Common Data'!P$36</f>
        <v>2039</v>
      </c>
      <c r="Q149" s="245">
        <f>'Expected NPV &amp; Common Data'!Q$36</f>
        <v>2040</v>
      </c>
      <c r="R149" s="245">
        <f>'Expected NPV &amp; Common Data'!R$36</f>
        <v>2041</v>
      </c>
      <c r="S149" s="245">
        <f>'Expected NPV &amp; Common Data'!S$36</f>
        <v>2042</v>
      </c>
      <c r="T149" s="245">
        <f>'Expected NPV &amp; Common Data'!T$36</f>
        <v>2043</v>
      </c>
      <c r="U149" s="245">
        <f>'Expected NPV &amp; Common Data'!U$36</f>
        <v>2044</v>
      </c>
      <c r="V149" s="245">
        <f>'Expected NPV &amp; Common Data'!V$36</f>
        <v>2045</v>
      </c>
      <c r="W149" s="245">
        <f>'Expected NPV &amp; Common Data'!W$36</f>
        <v>2046</v>
      </c>
      <c r="X149" s="245">
        <f>'Expected NPV &amp; Common Data'!X$36</f>
        <v>2047</v>
      </c>
      <c r="Y149" s="245">
        <f>'Expected NPV &amp; Common Data'!Y$36</f>
        <v>2048</v>
      </c>
      <c r="Z149" s="245">
        <f>'Expected NPV &amp; Common Data'!Z$36</f>
        <v>2049</v>
      </c>
      <c r="AA149" s="245">
        <f>'Expected NPV &amp; Common Data'!AA$36</f>
        <v>2050</v>
      </c>
      <c r="AB149" s="245">
        <f>'Expected NPV &amp; Common Data'!AB$36</f>
        <v>2051</v>
      </c>
      <c r="AC149" s="245">
        <f>'Expected NPV &amp; Common Data'!AC$36</f>
        <v>2052</v>
      </c>
      <c r="AD149" s="245">
        <f>'Expected NPV &amp; Common Data'!AD$36</f>
        <v>2053</v>
      </c>
    </row>
    <row r="150" spans="1:30" outlineLevel="1">
      <c r="A150" s="134" t="s">
        <v>546</v>
      </c>
      <c r="C150" s="44"/>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row>
    <row r="151" spans="1:30" outlineLevel="1">
      <c r="A151" s="31" t="s">
        <v>244</v>
      </c>
      <c r="C151" s="42"/>
      <c r="D151" s="13"/>
      <c r="E151" s="13"/>
      <c r="F151" s="13"/>
      <c r="G151" s="13"/>
      <c r="H151" s="13"/>
      <c r="I151" s="42"/>
      <c r="J151" s="42"/>
      <c r="K151" s="42"/>
      <c r="L151" s="42"/>
      <c r="M151" s="42"/>
      <c r="N151" s="42"/>
      <c r="O151" s="42"/>
      <c r="P151" s="42"/>
      <c r="Q151" s="42"/>
      <c r="R151" s="42"/>
      <c r="S151" s="42"/>
      <c r="T151" s="42"/>
      <c r="U151" s="42"/>
      <c r="V151" s="42"/>
      <c r="W151" s="42"/>
      <c r="X151" s="42"/>
      <c r="Y151" s="42"/>
      <c r="Z151" s="42"/>
      <c r="AA151" s="42"/>
      <c r="AB151" s="42"/>
      <c r="AC151" s="42"/>
      <c r="AD151" s="42"/>
    </row>
    <row r="152" spans="1:30" outlineLevel="1">
      <c r="A152" s="13" t="s">
        <v>242</v>
      </c>
      <c r="B152" s="13" t="s">
        <v>192</v>
      </c>
      <c r="C152" s="44">
        <f>SUM(D152:AD152)</f>
        <v>52</v>
      </c>
      <c r="D152" s="42"/>
      <c r="E152" s="42"/>
      <c r="F152" s="56">
        <f t="shared" ref="F152:AD152" si="34">E145+F117-F145</f>
        <v>4.1923076923076925</v>
      </c>
      <c r="G152" s="56">
        <f t="shared" si="34"/>
        <v>7</v>
      </c>
      <c r="H152" s="56">
        <f t="shared" si="34"/>
        <v>7</v>
      </c>
      <c r="I152" s="56">
        <f t="shared" si="34"/>
        <v>7</v>
      </c>
      <c r="J152" s="56">
        <f t="shared" si="34"/>
        <v>7.3461538461538458</v>
      </c>
      <c r="K152" s="56">
        <f t="shared" si="34"/>
        <v>4.1153846153846159</v>
      </c>
      <c r="L152" s="56">
        <f t="shared" si="34"/>
        <v>3</v>
      </c>
      <c r="M152" s="56">
        <f t="shared" si="34"/>
        <v>3</v>
      </c>
      <c r="N152" s="56">
        <f t="shared" si="34"/>
        <v>3</v>
      </c>
      <c r="O152" s="56">
        <f t="shared" si="34"/>
        <v>3</v>
      </c>
      <c r="P152" s="56">
        <f t="shared" si="34"/>
        <v>3.3461538461538463</v>
      </c>
      <c r="Q152" s="56">
        <f t="shared" si="34"/>
        <v>0</v>
      </c>
      <c r="R152" s="56">
        <f t="shared" si="34"/>
        <v>0</v>
      </c>
      <c r="S152" s="56">
        <f t="shared" si="34"/>
        <v>0</v>
      </c>
      <c r="T152" s="56">
        <f t="shared" si="34"/>
        <v>0</v>
      </c>
      <c r="U152" s="56">
        <f t="shared" si="34"/>
        <v>0</v>
      </c>
      <c r="V152" s="56">
        <f t="shared" si="34"/>
        <v>0</v>
      </c>
      <c r="W152" s="56">
        <f t="shared" si="34"/>
        <v>0</v>
      </c>
      <c r="X152" s="56">
        <f t="shared" si="34"/>
        <v>0</v>
      </c>
      <c r="Y152" s="56">
        <f t="shared" si="34"/>
        <v>0</v>
      </c>
      <c r="Z152" s="56">
        <f t="shared" si="34"/>
        <v>0</v>
      </c>
      <c r="AA152" s="56">
        <f t="shared" si="34"/>
        <v>0</v>
      </c>
      <c r="AB152" s="56">
        <f t="shared" si="34"/>
        <v>0</v>
      </c>
      <c r="AC152" s="56">
        <f t="shared" si="34"/>
        <v>0</v>
      </c>
      <c r="AD152" s="56">
        <f t="shared" si="34"/>
        <v>0</v>
      </c>
    </row>
    <row r="153" spans="1:30" outlineLevel="1">
      <c r="A153" s="13" t="s">
        <v>243</v>
      </c>
      <c r="B153" s="13" t="s">
        <v>192</v>
      </c>
      <c r="C153" s="44">
        <f>SUM(D153:AD153)</f>
        <v>51</v>
      </c>
      <c r="D153" s="42"/>
      <c r="E153" s="42"/>
      <c r="F153" s="56">
        <f t="shared" ref="F153:AD153" si="35">E146+F130-F146</f>
        <v>0</v>
      </c>
      <c r="G153" s="56">
        <f t="shared" si="35"/>
        <v>0</v>
      </c>
      <c r="H153" s="56">
        <f t="shared" si="35"/>
        <v>0</v>
      </c>
      <c r="I153" s="56">
        <f t="shared" si="35"/>
        <v>0</v>
      </c>
      <c r="J153" s="56">
        <f t="shared" si="35"/>
        <v>0</v>
      </c>
      <c r="K153" s="56">
        <f t="shared" si="35"/>
        <v>2.5384615384615383</v>
      </c>
      <c r="L153" s="56">
        <f t="shared" si="35"/>
        <v>4</v>
      </c>
      <c r="M153" s="56">
        <f t="shared" si="35"/>
        <v>4</v>
      </c>
      <c r="N153" s="56">
        <f t="shared" si="35"/>
        <v>4</v>
      </c>
      <c r="O153" s="56">
        <f t="shared" si="35"/>
        <v>4</v>
      </c>
      <c r="P153" s="56">
        <f t="shared" si="35"/>
        <v>3.6538461538461542</v>
      </c>
      <c r="Q153" s="56">
        <f t="shared" si="35"/>
        <v>7</v>
      </c>
      <c r="R153" s="56">
        <f t="shared" si="35"/>
        <v>7</v>
      </c>
      <c r="S153" s="56">
        <f t="shared" si="35"/>
        <v>7</v>
      </c>
      <c r="T153" s="56">
        <f t="shared" si="35"/>
        <v>7.8076923076923075</v>
      </c>
      <c r="U153" s="56">
        <f t="shared" si="35"/>
        <v>0</v>
      </c>
      <c r="V153" s="56">
        <f t="shared" si="35"/>
        <v>0</v>
      </c>
      <c r="W153" s="56">
        <f t="shared" si="35"/>
        <v>0</v>
      </c>
      <c r="X153" s="56">
        <f t="shared" si="35"/>
        <v>0</v>
      </c>
      <c r="Y153" s="56">
        <f t="shared" si="35"/>
        <v>0</v>
      </c>
      <c r="Z153" s="56">
        <f t="shared" si="35"/>
        <v>0</v>
      </c>
      <c r="AA153" s="56">
        <f t="shared" si="35"/>
        <v>0</v>
      </c>
      <c r="AB153" s="56">
        <f t="shared" si="35"/>
        <v>0</v>
      </c>
      <c r="AC153" s="56">
        <f t="shared" si="35"/>
        <v>0</v>
      </c>
      <c r="AD153" s="56">
        <f t="shared" si="35"/>
        <v>0</v>
      </c>
    </row>
    <row r="154" spans="1:30" outlineLevel="1">
      <c r="A154" s="13" t="s">
        <v>241</v>
      </c>
      <c r="B154" s="13" t="s">
        <v>192</v>
      </c>
      <c r="C154" s="44">
        <f>SUM(D154:AD154)</f>
        <v>103</v>
      </c>
      <c r="D154" s="70"/>
      <c r="E154" s="70"/>
      <c r="F154" s="101">
        <f t="shared" ref="F154:AD154" si="36">F152+F153</f>
        <v>4.1923076923076925</v>
      </c>
      <c r="G154" s="101">
        <f t="shared" si="36"/>
        <v>7</v>
      </c>
      <c r="H154" s="101">
        <f t="shared" si="36"/>
        <v>7</v>
      </c>
      <c r="I154" s="101">
        <f t="shared" si="36"/>
        <v>7</v>
      </c>
      <c r="J154" s="101">
        <f t="shared" si="36"/>
        <v>7.3461538461538458</v>
      </c>
      <c r="K154" s="101">
        <f t="shared" si="36"/>
        <v>6.6538461538461542</v>
      </c>
      <c r="L154" s="101">
        <f t="shared" si="36"/>
        <v>7</v>
      </c>
      <c r="M154" s="101">
        <f t="shared" si="36"/>
        <v>7</v>
      </c>
      <c r="N154" s="101">
        <f t="shared" si="36"/>
        <v>7</v>
      </c>
      <c r="O154" s="101">
        <f t="shared" si="36"/>
        <v>7</v>
      </c>
      <c r="P154" s="101">
        <f t="shared" si="36"/>
        <v>7</v>
      </c>
      <c r="Q154" s="101">
        <f t="shared" si="36"/>
        <v>7</v>
      </c>
      <c r="R154" s="101">
        <f t="shared" si="36"/>
        <v>7</v>
      </c>
      <c r="S154" s="101">
        <f t="shared" si="36"/>
        <v>7</v>
      </c>
      <c r="T154" s="101">
        <f t="shared" si="36"/>
        <v>7.8076923076923075</v>
      </c>
      <c r="U154" s="101">
        <f t="shared" si="36"/>
        <v>0</v>
      </c>
      <c r="V154" s="101">
        <f t="shared" si="36"/>
        <v>0</v>
      </c>
      <c r="W154" s="101">
        <f t="shared" si="36"/>
        <v>0</v>
      </c>
      <c r="X154" s="101">
        <f t="shared" si="36"/>
        <v>0</v>
      </c>
      <c r="Y154" s="101">
        <f t="shared" si="36"/>
        <v>0</v>
      </c>
      <c r="Z154" s="101">
        <f t="shared" si="36"/>
        <v>0</v>
      </c>
      <c r="AA154" s="101">
        <f t="shared" si="36"/>
        <v>0</v>
      </c>
      <c r="AB154" s="101">
        <f t="shared" si="36"/>
        <v>0</v>
      </c>
      <c r="AC154" s="101">
        <f t="shared" si="36"/>
        <v>0</v>
      </c>
      <c r="AD154" s="101">
        <f t="shared" si="36"/>
        <v>0</v>
      </c>
    </row>
    <row r="155" spans="1:30" outlineLevel="1">
      <c r="C155" s="44"/>
      <c r="D155" s="42"/>
      <c r="E155" s="42"/>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row>
    <row r="156" spans="1:30" outlineLevel="1">
      <c r="A156" s="13" t="s">
        <v>249</v>
      </c>
      <c r="B156" s="13" t="s">
        <v>35</v>
      </c>
      <c r="C156" s="46">
        <f t="shared" ref="C156:AD156" si="37">IF(C154=0,0,(C152*C118+C153*C131)/C154)</f>
        <v>8.4038834951456302E-3</v>
      </c>
      <c r="D156" s="46">
        <f t="shared" si="37"/>
        <v>0</v>
      </c>
      <c r="E156" s="46">
        <f t="shared" si="37"/>
        <v>0</v>
      </c>
      <c r="F156" s="46">
        <f t="shared" si="37"/>
        <v>8.8000000000000005E-3</v>
      </c>
      <c r="G156" s="46">
        <f t="shared" si="37"/>
        <v>8.8000000000000005E-3</v>
      </c>
      <c r="H156" s="46">
        <f t="shared" si="37"/>
        <v>8.8000000000000005E-3</v>
      </c>
      <c r="I156" s="46">
        <f t="shared" si="37"/>
        <v>8.8000000000000005E-3</v>
      </c>
      <c r="J156" s="46">
        <f t="shared" si="37"/>
        <v>8.8000000000000005E-3</v>
      </c>
      <c r="K156" s="46">
        <f t="shared" si="37"/>
        <v>8.4947976878612715E-3</v>
      </c>
      <c r="L156" s="46">
        <f t="shared" si="37"/>
        <v>8.3428571428571432E-3</v>
      </c>
      <c r="M156" s="46">
        <f t="shared" si="37"/>
        <v>8.3428571428571432E-3</v>
      </c>
      <c r="N156" s="46">
        <f t="shared" si="37"/>
        <v>8.3428571428571432E-3</v>
      </c>
      <c r="O156" s="46">
        <f t="shared" si="37"/>
        <v>8.3428571428571432E-3</v>
      </c>
      <c r="P156" s="46">
        <f t="shared" si="37"/>
        <v>8.3824175824175843E-3</v>
      </c>
      <c r="Q156" s="46">
        <f t="shared" si="37"/>
        <v>8.0000000000000002E-3</v>
      </c>
      <c r="R156" s="46">
        <f t="shared" si="37"/>
        <v>8.0000000000000002E-3</v>
      </c>
      <c r="S156" s="46">
        <f t="shared" si="37"/>
        <v>8.0000000000000002E-3</v>
      </c>
      <c r="T156" s="46">
        <f t="shared" si="37"/>
        <v>8.0000000000000002E-3</v>
      </c>
      <c r="U156" s="46">
        <f t="shared" si="37"/>
        <v>0</v>
      </c>
      <c r="V156" s="46">
        <f t="shared" si="37"/>
        <v>0</v>
      </c>
      <c r="W156" s="46">
        <f t="shared" si="37"/>
        <v>0</v>
      </c>
      <c r="X156" s="46">
        <f t="shared" si="37"/>
        <v>0</v>
      </c>
      <c r="Y156" s="46">
        <f t="shared" si="37"/>
        <v>0</v>
      </c>
      <c r="Z156" s="46">
        <f t="shared" si="37"/>
        <v>0</v>
      </c>
      <c r="AA156" s="46">
        <f t="shared" si="37"/>
        <v>0</v>
      </c>
      <c r="AB156" s="46">
        <f t="shared" si="37"/>
        <v>0</v>
      </c>
      <c r="AC156" s="46">
        <f t="shared" si="37"/>
        <v>0</v>
      </c>
      <c r="AD156" s="46">
        <f t="shared" si="37"/>
        <v>0</v>
      </c>
    </row>
    <row r="157" spans="1:30" outlineLevel="1">
      <c r="A157" s="13" t="s">
        <v>250</v>
      </c>
      <c r="B157" s="13" t="s">
        <v>217</v>
      </c>
      <c r="C157" s="56">
        <f t="shared" ref="C157:AD157" si="38">IF(C154=0,0,(C119*C152+C132*C153)/C154)</f>
        <v>0.11982076176250933</v>
      </c>
      <c r="D157" s="56">
        <f t="shared" si="38"/>
        <v>0</v>
      </c>
      <c r="E157" s="56">
        <f t="shared" si="38"/>
        <v>0</v>
      </c>
      <c r="F157" s="56">
        <f t="shared" si="38"/>
        <v>0.18</v>
      </c>
      <c r="G157" s="56">
        <f t="shared" si="38"/>
        <v>0.18</v>
      </c>
      <c r="H157" s="56">
        <f t="shared" si="38"/>
        <v>0.18</v>
      </c>
      <c r="I157" s="56">
        <f t="shared" si="38"/>
        <v>0.18</v>
      </c>
      <c r="J157" s="56">
        <f t="shared" si="38"/>
        <v>0.18</v>
      </c>
      <c r="K157" s="56">
        <f t="shared" si="38"/>
        <v>0.17236994219653179</v>
      </c>
      <c r="L157" s="56">
        <f t="shared" si="38"/>
        <v>0.16857142857142859</v>
      </c>
      <c r="M157" s="56">
        <f t="shared" si="38"/>
        <v>0.16857142857142859</v>
      </c>
      <c r="N157" s="56">
        <f t="shared" si="38"/>
        <v>0.16857142857142859</v>
      </c>
      <c r="O157" s="56">
        <f t="shared" si="38"/>
        <v>0.16857142857142859</v>
      </c>
      <c r="P157" s="56">
        <f t="shared" si="38"/>
        <v>0.16956043956043956</v>
      </c>
      <c r="Q157" s="56">
        <f t="shared" si="38"/>
        <v>0.16</v>
      </c>
      <c r="R157" s="56">
        <f t="shared" si="38"/>
        <v>0.16</v>
      </c>
      <c r="S157" s="56">
        <f t="shared" si="38"/>
        <v>0.16</v>
      </c>
      <c r="T157" s="56">
        <f t="shared" si="38"/>
        <v>0.16</v>
      </c>
      <c r="U157" s="56">
        <f t="shared" si="38"/>
        <v>0</v>
      </c>
      <c r="V157" s="56">
        <f t="shared" si="38"/>
        <v>0</v>
      </c>
      <c r="W157" s="56">
        <f t="shared" si="38"/>
        <v>0</v>
      </c>
      <c r="X157" s="56">
        <f t="shared" si="38"/>
        <v>0</v>
      </c>
      <c r="Y157" s="56">
        <f t="shared" si="38"/>
        <v>0</v>
      </c>
      <c r="Z157" s="56">
        <f t="shared" si="38"/>
        <v>0</v>
      </c>
      <c r="AA157" s="56">
        <f t="shared" si="38"/>
        <v>0</v>
      </c>
      <c r="AB157" s="56">
        <f t="shared" si="38"/>
        <v>0</v>
      </c>
      <c r="AC157" s="56">
        <f t="shared" si="38"/>
        <v>0</v>
      </c>
      <c r="AD157" s="56">
        <f t="shared" si="38"/>
        <v>0</v>
      </c>
    </row>
    <row r="158" spans="1:30" outlineLevel="1">
      <c r="A158" s="13" t="s">
        <v>251</v>
      </c>
      <c r="B158" s="13" t="s">
        <v>253</v>
      </c>
      <c r="C158" s="56">
        <f t="shared" ref="C158:AD158" si="39">IF(C154=0,0,C120*C152/C154)</f>
        <v>1.0097087378640777</v>
      </c>
      <c r="D158" s="56">
        <f t="shared" si="39"/>
        <v>0</v>
      </c>
      <c r="E158" s="56">
        <f t="shared" si="39"/>
        <v>0</v>
      </c>
      <c r="F158" s="56">
        <f t="shared" si="39"/>
        <v>2</v>
      </c>
      <c r="G158" s="56">
        <f t="shared" si="39"/>
        <v>2</v>
      </c>
      <c r="H158" s="56">
        <f t="shared" si="39"/>
        <v>2</v>
      </c>
      <c r="I158" s="56">
        <f t="shared" si="39"/>
        <v>2</v>
      </c>
      <c r="J158" s="56">
        <f t="shared" si="39"/>
        <v>2</v>
      </c>
      <c r="K158" s="56">
        <f t="shared" si="39"/>
        <v>1.2369942196531793</v>
      </c>
      <c r="L158" s="56">
        <f t="shared" si="39"/>
        <v>0.8571428571428571</v>
      </c>
      <c r="M158" s="56">
        <f t="shared" si="39"/>
        <v>0.8571428571428571</v>
      </c>
      <c r="N158" s="56">
        <f t="shared" si="39"/>
        <v>0.8571428571428571</v>
      </c>
      <c r="O158" s="56">
        <f t="shared" si="39"/>
        <v>0.8571428571428571</v>
      </c>
      <c r="P158" s="56">
        <f t="shared" si="39"/>
        <v>0.95604395604395609</v>
      </c>
      <c r="Q158" s="56">
        <f t="shared" si="39"/>
        <v>0</v>
      </c>
      <c r="R158" s="56">
        <f t="shared" si="39"/>
        <v>0</v>
      </c>
      <c r="S158" s="56">
        <f t="shared" si="39"/>
        <v>0</v>
      </c>
      <c r="T158" s="56">
        <f t="shared" si="39"/>
        <v>0</v>
      </c>
      <c r="U158" s="56">
        <f t="shared" si="39"/>
        <v>0</v>
      </c>
      <c r="V158" s="56">
        <f t="shared" si="39"/>
        <v>0</v>
      </c>
      <c r="W158" s="56">
        <f t="shared" si="39"/>
        <v>0</v>
      </c>
      <c r="X158" s="56">
        <f t="shared" si="39"/>
        <v>0</v>
      </c>
      <c r="Y158" s="56">
        <f t="shared" si="39"/>
        <v>0</v>
      </c>
      <c r="Z158" s="56">
        <f t="shared" si="39"/>
        <v>0</v>
      </c>
      <c r="AA158" s="56">
        <f t="shared" si="39"/>
        <v>0</v>
      </c>
      <c r="AB158" s="56">
        <f t="shared" si="39"/>
        <v>0</v>
      </c>
      <c r="AC158" s="56">
        <f t="shared" si="39"/>
        <v>0</v>
      </c>
      <c r="AD158" s="56">
        <f t="shared" si="39"/>
        <v>0</v>
      </c>
    </row>
    <row r="159" spans="1:30" outlineLevel="1">
      <c r="A159" s="13" t="s">
        <v>252</v>
      </c>
      <c r="B159" s="13" t="s">
        <v>99</v>
      </c>
      <c r="C159" s="46">
        <f t="shared" ref="C159:AD159" si="40">IF(C154=0,0,C121*C152/C154)</f>
        <v>4.5436893203883502E-4</v>
      </c>
      <c r="D159" s="46">
        <f t="shared" si="40"/>
        <v>0</v>
      </c>
      <c r="E159" s="46">
        <f t="shared" si="40"/>
        <v>0</v>
      </c>
      <c r="F159" s="46">
        <f t="shared" si="40"/>
        <v>8.9999999999999998E-4</v>
      </c>
      <c r="G159" s="46">
        <f t="shared" si="40"/>
        <v>8.9999999999999998E-4</v>
      </c>
      <c r="H159" s="46">
        <f t="shared" si="40"/>
        <v>8.9999999999999998E-4</v>
      </c>
      <c r="I159" s="46">
        <f t="shared" si="40"/>
        <v>8.9999999999999998E-4</v>
      </c>
      <c r="J159" s="46">
        <f t="shared" si="40"/>
        <v>8.9999999999999998E-4</v>
      </c>
      <c r="K159" s="46">
        <f t="shared" si="40"/>
        <v>5.5664739884393071E-4</v>
      </c>
      <c r="L159" s="46">
        <f t="shared" si="40"/>
        <v>3.8571428571428573E-4</v>
      </c>
      <c r="M159" s="46">
        <f t="shared" si="40"/>
        <v>3.8571428571428573E-4</v>
      </c>
      <c r="N159" s="46">
        <f t="shared" si="40"/>
        <v>3.8571428571428573E-4</v>
      </c>
      <c r="O159" s="46">
        <f t="shared" si="40"/>
        <v>3.8571428571428573E-4</v>
      </c>
      <c r="P159" s="46">
        <f t="shared" si="40"/>
        <v>4.3021978021978024E-4</v>
      </c>
      <c r="Q159" s="46">
        <f t="shared" si="40"/>
        <v>0</v>
      </c>
      <c r="R159" s="46">
        <f t="shared" si="40"/>
        <v>0</v>
      </c>
      <c r="S159" s="46">
        <f t="shared" si="40"/>
        <v>0</v>
      </c>
      <c r="T159" s="46">
        <f t="shared" si="40"/>
        <v>0</v>
      </c>
      <c r="U159" s="46">
        <f t="shared" si="40"/>
        <v>0</v>
      </c>
      <c r="V159" s="46">
        <f t="shared" si="40"/>
        <v>0</v>
      </c>
      <c r="W159" s="46">
        <f t="shared" si="40"/>
        <v>0</v>
      </c>
      <c r="X159" s="46">
        <f t="shared" si="40"/>
        <v>0</v>
      </c>
      <c r="Y159" s="46">
        <f t="shared" si="40"/>
        <v>0</v>
      </c>
      <c r="Z159" s="46">
        <f t="shared" si="40"/>
        <v>0</v>
      </c>
      <c r="AA159" s="46">
        <f t="shared" si="40"/>
        <v>0</v>
      </c>
      <c r="AB159" s="46">
        <f t="shared" si="40"/>
        <v>0</v>
      </c>
      <c r="AC159" s="46">
        <f t="shared" si="40"/>
        <v>0</v>
      </c>
      <c r="AD159" s="46">
        <f t="shared" si="40"/>
        <v>0</v>
      </c>
    </row>
    <row r="160" spans="1:30" outlineLevel="1">
      <c r="C160" s="44"/>
      <c r="D160" s="42"/>
      <c r="E160" s="42"/>
      <c r="F160" s="42"/>
      <c r="G160" s="79"/>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row>
    <row r="161" spans="1:30" ht="15.5" outlineLevel="1">
      <c r="A161" s="24" t="s">
        <v>196</v>
      </c>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row>
    <row r="162" spans="1:30" outlineLevel="1">
      <c r="A162" s="214" t="s">
        <v>40</v>
      </c>
      <c r="B162" s="214" t="s">
        <v>35</v>
      </c>
      <c r="C162" s="258">
        <f>SUMPRODUCT(D154:AD154*D162:AD162)/C154</f>
        <v>0.84000000000000008</v>
      </c>
      <c r="D162" s="326">
        <v>0.84</v>
      </c>
      <c r="E162" s="220">
        <f t="shared" ref="E162:AD165" si="41">D162</f>
        <v>0.84</v>
      </c>
      <c r="F162" s="220">
        <f t="shared" si="41"/>
        <v>0.84</v>
      </c>
      <c r="G162" s="220">
        <f t="shared" si="41"/>
        <v>0.84</v>
      </c>
      <c r="H162" s="220">
        <f t="shared" si="41"/>
        <v>0.84</v>
      </c>
      <c r="I162" s="220">
        <f t="shared" si="41"/>
        <v>0.84</v>
      </c>
      <c r="J162" s="220">
        <f t="shared" si="41"/>
        <v>0.84</v>
      </c>
      <c r="K162" s="220">
        <f t="shared" si="41"/>
        <v>0.84</v>
      </c>
      <c r="L162" s="220">
        <f t="shared" si="41"/>
        <v>0.84</v>
      </c>
      <c r="M162" s="220">
        <f t="shared" si="41"/>
        <v>0.84</v>
      </c>
      <c r="N162" s="220">
        <f t="shared" si="41"/>
        <v>0.84</v>
      </c>
      <c r="O162" s="220">
        <f t="shared" si="41"/>
        <v>0.84</v>
      </c>
      <c r="P162" s="220">
        <f t="shared" si="41"/>
        <v>0.84</v>
      </c>
      <c r="Q162" s="220">
        <f t="shared" si="41"/>
        <v>0.84</v>
      </c>
      <c r="R162" s="220">
        <f t="shared" si="41"/>
        <v>0.84</v>
      </c>
      <c r="S162" s="220">
        <f t="shared" si="41"/>
        <v>0.84</v>
      </c>
      <c r="T162" s="220">
        <f t="shared" si="41"/>
        <v>0.84</v>
      </c>
      <c r="U162" s="220">
        <f t="shared" si="41"/>
        <v>0.84</v>
      </c>
      <c r="V162" s="220">
        <f t="shared" si="41"/>
        <v>0.84</v>
      </c>
      <c r="W162" s="220">
        <f t="shared" si="41"/>
        <v>0.84</v>
      </c>
      <c r="X162" s="220">
        <f t="shared" si="41"/>
        <v>0.84</v>
      </c>
      <c r="Y162" s="220">
        <f t="shared" si="41"/>
        <v>0.84</v>
      </c>
      <c r="Z162" s="220">
        <f t="shared" si="41"/>
        <v>0.84</v>
      </c>
      <c r="AA162" s="220">
        <f t="shared" si="41"/>
        <v>0.84</v>
      </c>
      <c r="AB162" s="220">
        <f t="shared" si="41"/>
        <v>0.84</v>
      </c>
      <c r="AC162" s="220">
        <f t="shared" si="41"/>
        <v>0.84</v>
      </c>
      <c r="AD162" s="220">
        <f t="shared" si="41"/>
        <v>0.84</v>
      </c>
    </row>
    <row r="163" spans="1:30" outlineLevel="1">
      <c r="A163" s="214" t="s">
        <v>41</v>
      </c>
      <c r="B163" s="214" t="s">
        <v>43</v>
      </c>
      <c r="C163" s="258">
        <f>SUMPRODUCT(D154:AD154*D163:AD163)/C154</f>
        <v>0.72</v>
      </c>
      <c r="D163" s="326">
        <v>0.72</v>
      </c>
      <c r="E163" s="220">
        <f t="shared" si="41"/>
        <v>0.72</v>
      </c>
      <c r="F163" s="220">
        <f t="shared" si="41"/>
        <v>0.72</v>
      </c>
      <c r="G163" s="220">
        <f t="shared" si="41"/>
        <v>0.72</v>
      </c>
      <c r="H163" s="220">
        <f t="shared" si="41"/>
        <v>0.72</v>
      </c>
      <c r="I163" s="220">
        <f t="shared" si="41"/>
        <v>0.72</v>
      </c>
      <c r="J163" s="220">
        <f t="shared" si="41"/>
        <v>0.72</v>
      </c>
      <c r="K163" s="220">
        <f t="shared" si="41"/>
        <v>0.72</v>
      </c>
      <c r="L163" s="220">
        <f t="shared" si="41"/>
        <v>0.72</v>
      </c>
      <c r="M163" s="220">
        <f t="shared" si="41"/>
        <v>0.72</v>
      </c>
      <c r="N163" s="220">
        <f t="shared" si="41"/>
        <v>0.72</v>
      </c>
      <c r="O163" s="220">
        <f t="shared" si="41"/>
        <v>0.72</v>
      </c>
      <c r="P163" s="220">
        <f t="shared" si="41"/>
        <v>0.72</v>
      </c>
      <c r="Q163" s="220">
        <f t="shared" si="41"/>
        <v>0.72</v>
      </c>
      <c r="R163" s="220">
        <f t="shared" si="41"/>
        <v>0.72</v>
      </c>
      <c r="S163" s="220">
        <f t="shared" si="41"/>
        <v>0.72</v>
      </c>
      <c r="T163" s="220">
        <f t="shared" si="41"/>
        <v>0.72</v>
      </c>
      <c r="U163" s="220">
        <f t="shared" si="41"/>
        <v>0.72</v>
      </c>
      <c r="V163" s="220">
        <f t="shared" si="41"/>
        <v>0.72</v>
      </c>
      <c r="W163" s="220">
        <f t="shared" si="41"/>
        <v>0.72</v>
      </c>
      <c r="X163" s="220">
        <f t="shared" si="41"/>
        <v>0.72</v>
      </c>
      <c r="Y163" s="220">
        <f t="shared" si="41"/>
        <v>0.72</v>
      </c>
      <c r="Z163" s="220">
        <f t="shared" si="41"/>
        <v>0.72</v>
      </c>
      <c r="AA163" s="220">
        <f t="shared" si="41"/>
        <v>0.72</v>
      </c>
      <c r="AB163" s="220">
        <f t="shared" si="41"/>
        <v>0.72</v>
      </c>
      <c r="AC163" s="220">
        <f t="shared" si="41"/>
        <v>0.72</v>
      </c>
      <c r="AD163" s="220">
        <f t="shared" si="41"/>
        <v>0.72</v>
      </c>
    </row>
    <row r="164" spans="1:30" outlineLevel="1">
      <c r="A164" s="214" t="s">
        <v>42</v>
      </c>
      <c r="B164" s="214" t="s">
        <v>193</v>
      </c>
      <c r="C164" s="258">
        <f>SUMPRODUCT(D154:AD154*D164:AD164)/C154</f>
        <v>0.6000000000000002</v>
      </c>
      <c r="D164" s="326">
        <v>0.6</v>
      </c>
      <c r="E164" s="220">
        <f t="shared" si="41"/>
        <v>0.6</v>
      </c>
      <c r="F164" s="220">
        <f t="shared" si="41"/>
        <v>0.6</v>
      </c>
      <c r="G164" s="220">
        <f t="shared" si="41"/>
        <v>0.6</v>
      </c>
      <c r="H164" s="220">
        <f t="shared" si="41"/>
        <v>0.6</v>
      </c>
      <c r="I164" s="220">
        <f t="shared" si="41"/>
        <v>0.6</v>
      </c>
      <c r="J164" s="220">
        <f t="shared" si="41"/>
        <v>0.6</v>
      </c>
      <c r="K164" s="220">
        <f t="shared" si="41"/>
        <v>0.6</v>
      </c>
      <c r="L164" s="220">
        <f t="shared" si="41"/>
        <v>0.6</v>
      </c>
      <c r="M164" s="220">
        <f t="shared" si="41"/>
        <v>0.6</v>
      </c>
      <c r="N164" s="220">
        <f t="shared" si="41"/>
        <v>0.6</v>
      </c>
      <c r="O164" s="220">
        <f t="shared" si="41"/>
        <v>0.6</v>
      </c>
      <c r="P164" s="220">
        <f t="shared" si="41"/>
        <v>0.6</v>
      </c>
      <c r="Q164" s="220">
        <f t="shared" si="41"/>
        <v>0.6</v>
      </c>
      <c r="R164" s="220">
        <f t="shared" si="41"/>
        <v>0.6</v>
      </c>
      <c r="S164" s="220">
        <f t="shared" si="41"/>
        <v>0.6</v>
      </c>
      <c r="T164" s="220">
        <f t="shared" si="41"/>
        <v>0.6</v>
      </c>
      <c r="U164" s="220">
        <f t="shared" si="41"/>
        <v>0.6</v>
      </c>
      <c r="V164" s="220">
        <f t="shared" si="41"/>
        <v>0.6</v>
      </c>
      <c r="W164" s="220">
        <f t="shared" si="41"/>
        <v>0.6</v>
      </c>
      <c r="X164" s="220">
        <f t="shared" si="41"/>
        <v>0.6</v>
      </c>
      <c r="Y164" s="220">
        <f t="shared" si="41"/>
        <v>0.6</v>
      </c>
      <c r="Z164" s="220">
        <f t="shared" si="41"/>
        <v>0.6</v>
      </c>
      <c r="AA164" s="220">
        <f t="shared" si="41"/>
        <v>0.6</v>
      </c>
      <c r="AB164" s="220">
        <f t="shared" si="41"/>
        <v>0.6</v>
      </c>
      <c r="AC164" s="220">
        <f t="shared" si="41"/>
        <v>0.6</v>
      </c>
      <c r="AD164" s="220">
        <f t="shared" si="41"/>
        <v>0.6</v>
      </c>
    </row>
    <row r="165" spans="1:30" outlineLevel="1">
      <c r="A165" s="214" t="s">
        <v>103</v>
      </c>
      <c r="B165" s="214" t="s">
        <v>35</v>
      </c>
      <c r="C165" s="258">
        <f>SUMPRODUCT(D166:AD166*D165:AD165)/C166</f>
        <v>0.30999999999999994</v>
      </c>
      <c r="D165" s="220">
        <v>0.31</v>
      </c>
      <c r="E165" s="220">
        <f t="shared" si="41"/>
        <v>0.31</v>
      </c>
      <c r="F165" s="220">
        <f t="shared" si="41"/>
        <v>0.31</v>
      </c>
      <c r="G165" s="220">
        <f t="shared" si="41"/>
        <v>0.31</v>
      </c>
      <c r="H165" s="220">
        <f t="shared" si="41"/>
        <v>0.31</v>
      </c>
      <c r="I165" s="220">
        <f t="shared" si="41"/>
        <v>0.31</v>
      </c>
      <c r="J165" s="220">
        <f t="shared" si="41"/>
        <v>0.31</v>
      </c>
      <c r="K165" s="220">
        <f t="shared" si="41"/>
        <v>0.31</v>
      </c>
      <c r="L165" s="220">
        <f t="shared" si="41"/>
        <v>0.31</v>
      </c>
      <c r="M165" s="220">
        <f t="shared" si="41"/>
        <v>0.31</v>
      </c>
      <c r="N165" s="220">
        <f t="shared" si="41"/>
        <v>0.31</v>
      </c>
      <c r="O165" s="220">
        <f t="shared" si="41"/>
        <v>0.31</v>
      </c>
      <c r="P165" s="220">
        <f t="shared" si="41"/>
        <v>0.31</v>
      </c>
      <c r="Q165" s="220">
        <f t="shared" si="41"/>
        <v>0.31</v>
      </c>
      <c r="R165" s="220">
        <f t="shared" si="41"/>
        <v>0.31</v>
      </c>
      <c r="S165" s="220">
        <f t="shared" si="41"/>
        <v>0.31</v>
      </c>
      <c r="T165" s="220">
        <f t="shared" si="41"/>
        <v>0.31</v>
      </c>
      <c r="U165" s="220">
        <f t="shared" si="41"/>
        <v>0.31</v>
      </c>
      <c r="V165" s="220">
        <f t="shared" si="41"/>
        <v>0.31</v>
      </c>
      <c r="W165" s="220">
        <f t="shared" si="41"/>
        <v>0.31</v>
      </c>
      <c r="X165" s="220">
        <f t="shared" si="41"/>
        <v>0.31</v>
      </c>
      <c r="Y165" s="220">
        <f t="shared" si="41"/>
        <v>0.31</v>
      </c>
      <c r="Z165" s="220">
        <f t="shared" si="41"/>
        <v>0.31</v>
      </c>
      <c r="AA165" s="220">
        <f t="shared" si="41"/>
        <v>0.31</v>
      </c>
      <c r="AB165" s="220">
        <f t="shared" si="41"/>
        <v>0.31</v>
      </c>
      <c r="AC165" s="220">
        <f t="shared" si="41"/>
        <v>0.31</v>
      </c>
      <c r="AD165" s="220">
        <f t="shared" si="41"/>
        <v>0.31</v>
      </c>
    </row>
    <row r="166" spans="1:30" s="14" customFormat="1" outlineLevel="1">
      <c r="A166" s="14" t="s">
        <v>89</v>
      </c>
      <c r="B166" s="13" t="s">
        <v>26</v>
      </c>
      <c r="C166" s="44">
        <f>SUM(D166:AD166)</f>
        <v>2345.4967741935484</v>
      </c>
      <c r="D166" s="48">
        <f t="shared" ref="D166:AD166" si="42">D154*D156*D162/D165*1000</f>
        <v>0</v>
      </c>
      <c r="E166" s="48">
        <f t="shared" si="42"/>
        <v>0</v>
      </c>
      <c r="F166" s="48">
        <f t="shared" si="42"/>
        <v>99.966253101736982</v>
      </c>
      <c r="G166" s="48">
        <f t="shared" si="42"/>
        <v>166.91612903225806</v>
      </c>
      <c r="H166" s="48">
        <f t="shared" si="42"/>
        <v>166.91612903225806</v>
      </c>
      <c r="I166" s="48">
        <f t="shared" si="42"/>
        <v>166.91612903225806</v>
      </c>
      <c r="J166" s="48">
        <f t="shared" si="42"/>
        <v>175.17022332506204</v>
      </c>
      <c r="K166" s="48">
        <f t="shared" si="42"/>
        <v>153.15930521091812</v>
      </c>
      <c r="L166" s="48">
        <f t="shared" si="42"/>
        <v>158.24516129032256</v>
      </c>
      <c r="M166" s="48">
        <f t="shared" si="42"/>
        <v>158.24516129032256</v>
      </c>
      <c r="N166" s="48">
        <f t="shared" si="42"/>
        <v>158.24516129032256</v>
      </c>
      <c r="O166" s="48">
        <f t="shared" si="42"/>
        <v>158.24516129032256</v>
      </c>
      <c r="P166" s="48">
        <f t="shared" si="42"/>
        <v>158.99553349875933</v>
      </c>
      <c r="Q166" s="48">
        <f t="shared" si="42"/>
        <v>151.74193548387098</v>
      </c>
      <c r="R166" s="48">
        <f t="shared" si="42"/>
        <v>151.74193548387098</v>
      </c>
      <c r="S166" s="48">
        <f t="shared" si="42"/>
        <v>151.74193548387098</v>
      </c>
      <c r="T166" s="48">
        <f t="shared" si="42"/>
        <v>169.25062034739454</v>
      </c>
      <c r="U166" s="48">
        <f t="shared" si="42"/>
        <v>0</v>
      </c>
      <c r="V166" s="48">
        <f t="shared" si="42"/>
        <v>0</v>
      </c>
      <c r="W166" s="48">
        <f t="shared" si="42"/>
        <v>0</v>
      </c>
      <c r="X166" s="48">
        <f t="shared" si="42"/>
        <v>0</v>
      </c>
      <c r="Y166" s="48">
        <f t="shared" si="42"/>
        <v>0</v>
      </c>
      <c r="Z166" s="48">
        <f t="shared" si="42"/>
        <v>0</v>
      </c>
      <c r="AA166" s="48">
        <f t="shared" si="42"/>
        <v>0</v>
      </c>
      <c r="AB166" s="48">
        <f t="shared" si="42"/>
        <v>0</v>
      </c>
      <c r="AC166" s="48">
        <f t="shared" si="42"/>
        <v>0</v>
      </c>
      <c r="AD166" s="48">
        <f t="shared" si="42"/>
        <v>0</v>
      </c>
    </row>
    <row r="167" spans="1:30" outlineLevel="1">
      <c r="A167" s="13" t="s">
        <v>101</v>
      </c>
      <c r="B167" s="13" t="s">
        <v>36</v>
      </c>
      <c r="C167" s="56">
        <f>IF(C166=0,0,C154*C157*C163/C166)*1000</f>
        <v>3.7884970851699129</v>
      </c>
      <c r="D167" s="56">
        <f t="shared" ref="D167:AD167" si="43">IF(D166=0,0,D154*D157*D163/D166)*1000</f>
        <v>0</v>
      </c>
      <c r="E167" s="56">
        <f t="shared" si="43"/>
        <v>0</v>
      </c>
      <c r="F167" s="56">
        <f t="shared" si="43"/>
        <v>5.4350649350649345</v>
      </c>
      <c r="G167" s="56">
        <f t="shared" si="43"/>
        <v>5.4350649350649354</v>
      </c>
      <c r="H167" s="56">
        <f t="shared" si="43"/>
        <v>5.4350649350649354</v>
      </c>
      <c r="I167" s="56">
        <f t="shared" si="43"/>
        <v>5.4350649350649354</v>
      </c>
      <c r="J167" s="56">
        <f t="shared" si="43"/>
        <v>5.4350649350649345</v>
      </c>
      <c r="K167" s="56">
        <f t="shared" si="43"/>
        <v>5.3916712030484479</v>
      </c>
      <c r="L167" s="56">
        <f t="shared" si="43"/>
        <v>5.3688845401174188</v>
      </c>
      <c r="M167" s="56">
        <f t="shared" si="43"/>
        <v>5.3688845401174188</v>
      </c>
      <c r="N167" s="56">
        <f t="shared" si="43"/>
        <v>5.3688845401174188</v>
      </c>
      <c r="O167" s="56">
        <f t="shared" si="43"/>
        <v>5.3688845401174188</v>
      </c>
      <c r="P167" s="56">
        <f t="shared" si="43"/>
        <v>5.3748969960296646</v>
      </c>
      <c r="Q167" s="56">
        <f t="shared" si="43"/>
        <v>5.3142857142857141</v>
      </c>
      <c r="R167" s="56">
        <f t="shared" si="43"/>
        <v>5.3142857142857141</v>
      </c>
      <c r="S167" s="56">
        <f t="shared" si="43"/>
        <v>5.3142857142857141</v>
      </c>
      <c r="T167" s="56">
        <f t="shared" si="43"/>
        <v>5.3142857142857141</v>
      </c>
      <c r="U167" s="56">
        <f t="shared" si="43"/>
        <v>0</v>
      </c>
      <c r="V167" s="56">
        <f t="shared" si="43"/>
        <v>0</v>
      </c>
      <c r="W167" s="56">
        <f t="shared" si="43"/>
        <v>0</v>
      </c>
      <c r="X167" s="56">
        <f t="shared" si="43"/>
        <v>0</v>
      </c>
      <c r="Y167" s="56">
        <f t="shared" si="43"/>
        <v>0</v>
      </c>
      <c r="Z167" s="56">
        <f t="shared" si="43"/>
        <v>0</v>
      </c>
      <c r="AA167" s="56">
        <f t="shared" si="43"/>
        <v>0</v>
      </c>
      <c r="AB167" s="56">
        <f t="shared" si="43"/>
        <v>0</v>
      </c>
      <c r="AC167" s="56">
        <f t="shared" si="43"/>
        <v>0</v>
      </c>
      <c r="AD167" s="56">
        <f t="shared" si="43"/>
        <v>0</v>
      </c>
    </row>
    <row r="168" spans="1:30" outlineLevel="1">
      <c r="A168" s="13" t="s">
        <v>106</v>
      </c>
      <c r="B168" s="13" t="s">
        <v>37</v>
      </c>
      <c r="C168" s="42">
        <f>IF(C166=0,0,C154*C158*C164/C166)*1000</f>
        <v>26.60417216794297</v>
      </c>
      <c r="D168" s="42">
        <f t="shared" ref="D168:AD168" si="44">IF(D166=0,0,D154*D158*D164/D166)*1000</f>
        <v>0</v>
      </c>
      <c r="E168" s="42">
        <f t="shared" si="44"/>
        <v>0</v>
      </c>
      <c r="F168" s="42">
        <f t="shared" si="44"/>
        <v>50.324675324675319</v>
      </c>
      <c r="G168" s="42">
        <f t="shared" si="44"/>
        <v>50.324675324675326</v>
      </c>
      <c r="H168" s="42">
        <f t="shared" si="44"/>
        <v>50.324675324675326</v>
      </c>
      <c r="I168" s="42">
        <f t="shared" si="44"/>
        <v>50.324675324675326</v>
      </c>
      <c r="J168" s="42">
        <f t="shared" si="44"/>
        <v>50.324675324675312</v>
      </c>
      <c r="K168" s="42">
        <f t="shared" si="44"/>
        <v>32.243953651139279</v>
      </c>
      <c r="L168" s="42">
        <f t="shared" si="44"/>
        <v>22.749510763209397</v>
      </c>
      <c r="M168" s="42">
        <f t="shared" si="44"/>
        <v>22.749510763209397</v>
      </c>
      <c r="N168" s="42">
        <f t="shared" si="44"/>
        <v>22.749510763209397</v>
      </c>
      <c r="O168" s="42">
        <f t="shared" si="44"/>
        <v>22.749510763209397</v>
      </c>
      <c r="P168" s="42">
        <f t="shared" si="44"/>
        <v>25.254700726646185</v>
      </c>
      <c r="Q168" s="42">
        <f t="shared" si="44"/>
        <v>0</v>
      </c>
      <c r="R168" s="42">
        <f t="shared" si="44"/>
        <v>0</v>
      </c>
      <c r="S168" s="42">
        <f t="shared" si="44"/>
        <v>0</v>
      </c>
      <c r="T168" s="42">
        <f t="shared" si="44"/>
        <v>0</v>
      </c>
      <c r="U168" s="42">
        <f t="shared" si="44"/>
        <v>0</v>
      </c>
      <c r="V168" s="42">
        <f t="shared" si="44"/>
        <v>0</v>
      </c>
      <c r="W168" s="42">
        <f t="shared" si="44"/>
        <v>0</v>
      </c>
      <c r="X168" s="42">
        <f t="shared" si="44"/>
        <v>0</v>
      </c>
      <c r="Y168" s="42">
        <f t="shared" si="44"/>
        <v>0</v>
      </c>
      <c r="Z168" s="42">
        <f t="shared" si="44"/>
        <v>0</v>
      </c>
      <c r="AA168" s="42">
        <f t="shared" si="44"/>
        <v>0</v>
      </c>
      <c r="AB168" s="42">
        <f t="shared" si="44"/>
        <v>0</v>
      </c>
      <c r="AC168" s="42">
        <f t="shared" si="44"/>
        <v>0</v>
      </c>
      <c r="AD168" s="42">
        <f t="shared" si="44"/>
        <v>0</v>
      </c>
    </row>
    <row r="169" spans="1:30" outlineLevel="1">
      <c r="A169" s="5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row>
    <row r="170" spans="1:30" outlineLevel="1">
      <c r="A170" s="13" t="s">
        <v>611</v>
      </c>
      <c r="B170" s="13" t="s">
        <v>75</v>
      </c>
      <c r="C170" s="44">
        <f>SUM(D170:AD170)</f>
        <v>727.10399999999981</v>
      </c>
      <c r="D170" s="42">
        <f t="shared" ref="D170:AD170" si="45">D165*D166</f>
        <v>0</v>
      </c>
      <c r="E170" s="42">
        <f t="shared" si="45"/>
        <v>0</v>
      </c>
      <c r="F170" s="42">
        <f t="shared" si="45"/>
        <v>30.989538461538466</v>
      </c>
      <c r="G170" s="42">
        <f t="shared" si="45"/>
        <v>51.744</v>
      </c>
      <c r="H170" s="42">
        <f t="shared" si="45"/>
        <v>51.744</v>
      </c>
      <c r="I170" s="42">
        <f t="shared" si="45"/>
        <v>51.744</v>
      </c>
      <c r="J170" s="42">
        <f t="shared" si="45"/>
        <v>54.302769230769229</v>
      </c>
      <c r="K170" s="42">
        <f t="shared" si="45"/>
        <v>47.479384615384618</v>
      </c>
      <c r="L170" s="42">
        <f t="shared" si="45"/>
        <v>49.05599999999999</v>
      </c>
      <c r="M170" s="42">
        <f t="shared" si="45"/>
        <v>49.05599999999999</v>
      </c>
      <c r="N170" s="42">
        <f t="shared" si="45"/>
        <v>49.05599999999999</v>
      </c>
      <c r="O170" s="42">
        <f t="shared" si="45"/>
        <v>49.05599999999999</v>
      </c>
      <c r="P170" s="42">
        <f t="shared" si="45"/>
        <v>49.28861538461539</v>
      </c>
      <c r="Q170" s="42">
        <f t="shared" si="45"/>
        <v>47.04</v>
      </c>
      <c r="R170" s="42">
        <f t="shared" si="45"/>
        <v>47.04</v>
      </c>
      <c r="S170" s="42">
        <f t="shared" si="45"/>
        <v>47.04</v>
      </c>
      <c r="T170" s="42">
        <f t="shared" si="45"/>
        <v>52.46769230769231</v>
      </c>
      <c r="U170" s="42">
        <f t="shared" si="45"/>
        <v>0</v>
      </c>
      <c r="V170" s="42">
        <f t="shared" si="45"/>
        <v>0</v>
      </c>
      <c r="W170" s="42">
        <f t="shared" si="45"/>
        <v>0</v>
      </c>
      <c r="X170" s="42">
        <f t="shared" si="45"/>
        <v>0</v>
      </c>
      <c r="Y170" s="42">
        <f t="shared" si="45"/>
        <v>0</v>
      </c>
      <c r="Z170" s="42">
        <f t="shared" si="45"/>
        <v>0</v>
      </c>
      <c r="AA170" s="42">
        <f t="shared" si="45"/>
        <v>0</v>
      </c>
      <c r="AB170" s="42">
        <f t="shared" si="45"/>
        <v>0</v>
      </c>
      <c r="AC170" s="42">
        <f t="shared" si="45"/>
        <v>0</v>
      </c>
      <c r="AD170" s="42">
        <f t="shared" si="45"/>
        <v>0</v>
      </c>
    </row>
    <row r="171" spans="1:30" outlineLevel="1">
      <c r="A171" s="13" t="s">
        <v>107</v>
      </c>
      <c r="B171" s="13" t="s">
        <v>254</v>
      </c>
      <c r="C171" s="44">
        <f>SUM(D171:AD171)</f>
        <v>405.6077170418007</v>
      </c>
      <c r="D171" s="42">
        <f t="shared" ref="D171:AD171" si="46">D166*D167/31.1</f>
        <v>0</v>
      </c>
      <c r="E171" s="42">
        <f t="shared" si="46"/>
        <v>0</v>
      </c>
      <c r="F171" s="42">
        <f t="shared" si="46"/>
        <v>17.470195399455847</v>
      </c>
      <c r="G171" s="42">
        <f t="shared" si="46"/>
        <v>29.170418006430868</v>
      </c>
      <c r="H171" s="42">
        <f t="shared" si="46"/>
        <v>29.170418006430868</v>
      </c>
      <c r="I171" s="42">
        <f t="shared" si="46"/>
        <v>29.170418006430868</v>
      </c>
      <c r="J171" s="42">
        <f t="shared" si="46"/>
        <v>30.612911204551072</v>
      </c>
      <c r="K171" s="42">
        <f t="shared" si="46"/>
        <v>26.55255998021271</v>
      </c>
      <c r="L171" s="42">
        <f t="shared" si="46"/>
        <v>27.318327974276531</v>
      </c>
      <c r="M171" s="42">
        <f t="shared" si="46"/>
        <v>27.318327974276531</v>
      </c>
      <c r="N171" s="42">
        <f t="shared" si="46"/>
        <v>27.318327974276531</v>
      </c>
      <c r="O171" s="42">
        <f t="shared" si="46"/>
        <v>27.318327974276531</v>
      </c>
      <c r="P171" s="42">
        <f t="shared" si="46"/>
        <v>27.478604996289882</v>
      </c>
      <c r="Q171" s="42">
        <f t="shared" si="46"/>
        <v>25.929260450160768</v>
      </c>
      <c r="R171" s="42">
        <f t="shared" si="46"/>
        <v>25.929260450160768</v>
      </c>
      <c r="S171" s="42">
        <f t="shared" si="46"/>
        <v>25.929260450160768</v>
      </c>
      <c r="T171" s="42">
        <f t="shared" si="46"/>
        <v>28.921098194410089</v>
      </c>
      <c r="U171" s="42">
        <f t="shared" si="46"/>
        <v>0</v>
      </c>
      <c r="V171" s="42">
        <f t="shared" si="46"/>
        <v>0</v>
      </c>
      <c r="W171" s="42">
        <f t="shared" si="46"/>
        <v>0</v>
      </c>
      <c r="X171" s="42">
        <f t="shared" si="46"/>
        <v>0</v>
      </c>
      <c r="Y171" s="42">
        <f t="shared" si="46"/>
        <v>0</v>
      </c>
      <c r="Z171" s="42">
        <f t="shared" si="46"/>
        <v>0</v>
      </c>
      <c r="AA171" s="42">
        <f t="shared" si="46"/>
        <v>0</v>
      </c>
      <c r="AB171" s="42">
        <f t="shared" si="46"/>
        <v>0</v>
      </c>
      <c r="AC171" s="42">
        <f t="shared" si="46"/>
        <v>0</v>
      </c>
      <c r="AD171" s="42">
        <f t="shared" si="46"/>
        <v>0</v>
      </c>
    </row>
    <row r="172" spans="1:30" outlineLevel="1">
      <c r="A172" s="13" t="s">
        <v>108</v>
      </c>
      <c r="B172" s="13" t="s">
        <v>255</v>
      </c>
      <c r="C172" s="44">
        <f>SUM(D172:AD172)</f>
        <v>2006.4308681672026</v>
      </c>
      <c r="D172" s="42">
        <f t="shared" ref="D172:AD172" si="47">D166*D168/31.1</f>
        <v>0</v>
      </c>
      <c r="E172" s="42">
        <f t="shared" si="47"/>
        <v>0</v>
      </c>
      <c r="F172" s="42">
        <f t="shared" si="47"/>
        <v>161.76106851348007</v>
      </c>
      <c r="G172" s="42">
        <f t="shared" si="47"/>
        <v>270.09646302250803</v>
      </c>
      <c r="H172" s="42">
        <f t="shared" si="47"/>
        <v>270.09646302250803</v>
      </c>
      <c r="I172" s="42">
        <f t="shared" si="47"/>
        <v>270.09646302250803</v>
      </c>
      <c r="J172" s="42">
        <f t="shared" si="47"/>
        <v>283.45288152362099</v>
      </c>
      <c r="K172" s="42">
        <f t="shared" si="47"/>
        <v>158.79297551323273</v>
      </c>
      <c r="L172" s="42">
        <f t="shared" si="47"/>
        <v>115.7556270096463</v>
      </c>
      <c r="M172" s="42">
        <f t="shared" si="47"/>
        <v>115.7556270096463</v>
      </c>
      <c r="N172" s="42">
        <f t="shared" si="47"/>
        <v>115.7556270096463</v>
      </c>
      <c r="O172" s="42">
        <f t="shared" si="47"/>
        <v>115.7556270096463</v>
      </c>
      <c r="P172" s="42">
        <f t="shared" si="47"/>
        <v>129.11204551075932</v>
      </c>
      <c r="Q172" s="42">
        <f t="shared" si="47"/>
        <v>0</v>
      </c>
      <c r="R172" s="42">
        <f t="shared" si="47"/>
        <v>0</v>
      </c>
      <c r="S172" s="42">
        <f t="shared" si="47"/>
        <v>0</v>
      </c>
      <c r="T172" s="42">
        <f t="shared" si="47"/>
        <v>0</v>
      </c>
      <c r="U172" s="42">
        <f t="shared" si="47"/>
        <v>0</v>
      </c>
      <c r="V172" s="42">
        <f t="shared" si="47"/>
        <v>0</v>
      </c>
      <c r="W172" s="42">
        <f t="shared" si="47"/>
        <v>0</v>
      </c>
      <c r="X172" s="42">
        <f t="shared" si="47"/>
        <v>0</v>
      </c>
      <c r="Y172" s="42">
        <f t="shared" si="47"/>
        <v>0</v>
      </c>
      <c r="Z172" s="42">
        <f t="shared" si="47"/>
        <v>0</v>
      </c>
      <c r="AA172" s="42">
        <f t="shared" si="47"/>
        <v>0</v>
      </c>
      <c r="AB172" s="42">
        <f t="shared" si="47"/>
        <v>0</v>
      </c>
      <c r="AC172" s="42">
        <f t="shared" si="47"/>
        <v>0</v>
      </c>
      <c r="AD172" s="42">
        <f t="shared" si="47"/>
        <v>0</v>
      </c>
    </row>
    <row r="173" spans="1:30" outlineLevel="1">
      <c r="C173" s="44"/>
      <c r="D173" s="42"/>
      <c r="E173" s="42"/>
      <c r="F173" s="42"/>
      <c r="G173" s="79"/>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row>
    <row r="174" spans="1:30" ht="33" customHeight="1" outlineLevel="1">
      <c r="A174" s="24" t="s">
        <v>197</v>
      </c>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row>
    <row r="175" spans="1:30" outlineLevel="1">
      <c r="A175" s="134" t="s">
        <v>546</v>
      </c>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row>
    <row r="176" spans="1:30" outlineLevel="1">
      <c r="A176" s="214" t="s">
        <v>102</v>
      </c>
      <c r="B176" s="214" t="s">
        <v>99</v>
      </c>
      <c r="C176" s="258">
        <f>SUMPRODUCT(D154:AD154*D176:AD176)/C154</f>
        <v>0.6000000000000002</v>
      </c>
      <c r="D176" s="327">
        <v>0.6</v>
      </c>
      <c r="E176" s="217">
        <f t="shared" ref="E176:AD177" si="48">D176</f>
        <v>0.6</v>
      </c>
      <c r="F176" s="217">
        <f t="shared" si="48"/>
        <v>0.6</v>
      </c>
      <c r="G176" s="217">
        <f t="shared" si="48"/>
        <v>0.6</v>
      </c>
      <c r="H176" s="217">
        <f t="shared" si="48"/>
        <v>0.6</v>
      </c>
      <c r="I176" s="217">
        <f t="shared" si="48"/>
        <v>0.6</v>
      </c>
      <c r="J176" s="217">
        <f t="shared" si="48"/>
        <v>0.6</v>
      </c>
      <c r="K176" s="217">
        <f t="shared" si="48"/>
        <v>0.6</v>
      </c>
      <c r="L176" s="217">
        <f t="shared" si="48"/>
        <v>0.6</v>
      </c>
      <c r="M176" s="217">
        <f t="shared" si="48"/>
        <v>0.6</v>
      </c>
      <c r="N176" s="217">
        <f t="shared" si="48"/>
        <v>0.6</v>
      </c>
      <c r="O176" s="217">
        <f t="shared" si="48"/>
        <v>0.6</v>
      </c>
      <c r="P176" s="217">
        <f t="shared" si="48"/>
        <v>0.6</v>
      </c>
      <c r="Q176" s="217">
        <f t="shared" si="48"/>
        <v>0.6</v>
      </c>
      <c r="R176" s="217">
        <f t="shared" si="48"/>
        <v>0.6</v>
      </c>
      <c r="S176" s="217">
        <f t="shared" si="48"/>
        <v>0.6</v>
      </c>
      <c r="T176" s="217">
        <f t="shared" si="48"/>
        <v>0.6</v>
      </c>
      <c r="U176" s="217">
        <f t="shared" si="48"/>
        <v>0.6</v>
      </c>
      <c r="V176" s="217">
        <f t="shared" si="48"/>
        <v>0.6</v>
      </c>
      <c r="W176" s="217">
        <f t="shared" si="48"/>
        <v>0.6</v>
      </c>
      <c r="X176" s="217">
        <f t="shared" si="48"/>
        <v>0.6</v>
      </c>
      <c r="Y176" s="217">
        <f t="shared" si="48"/>
        <v>0.6</v>
      </c>
      <c r="Z176" s="217">
        <f t="shared" si="48"/>
        <v>0.6</v>
      </c>
      <c r="AA176" s="217">
        <f t="shared" si="48"/>
        <v>0.6</v>
      </c>
      <c r="AB176" s="217">
        <f t="shared" si="48"/>
        <v>0.6</v>
      </c>
      <c r="AC176" s="217">
        <f t="shared" si="48"/>
        <v>0.6</v>
      </c>
      <c r="AD176" s="217">
        <f t="shared" si="48"/>
        <v>0.6</v>
      </c>
    </row>
    <row r="177" spans="1:30" outlineLevel="1">
      <c r="A177" s="214" t="s">
        <v>104</v>
      </c>
      <c r="B177" s="214" t="s">
        <v>99</v>
      </c>
      <c r="C177" s="258">
        <f>SUMPRODUCT(D178:AD178*D177:AD177)/C178</f>
        <v>0.55000000000000016</v>
      </c>
      <c r="D177" s="327">
        <v>0.55000000000000004</v>
      </c>
      <c r="E177" s="217">
        <f t="shared" si="48"/>
        <v>0.55000000000000004</v>
      </c>
      <c r="F177" s="217">
        <f t="shared" si="48"/>
        <v>0.55000000000000004</v>
      </c>
      <c r="G177" s="217">
        <f t="shared" si="48"/>
        <v>0.55000000000000004</v>
      </c>
      <c r="H177" s="217">
        <f t="shared" si="48"/>
        <v>0.55000000000000004</v>
      </c>
      <c r="I177" s="217">
        <f t="shared" si="48"/>
        <v>0.55000000000000004</v>
      </c>
      <c r="J177" s="217">
        <f t="shared" si="48"/>
        <v>0.55000000000000004</v>
      </c>
      <c r="K177" s="217">
        <f t="shared" si="48"/>
        <v>0.55000000000000004</v>
      </c>
      <c r="L177" s="217">
        <f t="shared" si="48"/>
        <v>0.55000000000000004</v>
      </c>
      <c r="M177" s="217">
        <f t="shared" si="48"/>
        <v>0.55000000000000004</v>
      </c>
      <c r="N177" s="217">
        <f t="shared" si="48"/>
        <v>0.55000000000000004</v>
      </c>
      <c r="O177" s="217">
        <f t="shared" si="48"/>
        <v>0.55000000000000004</v>
      </c>
      <c r="P177" s="217">
        <f t="shared" si="48"/>
        <v>0.55000000000000004</v>
      </c>
      <c r="Q177" s="217">
        <f t="shared" si="48"/>
        <v>0.55000000000000004</v>
      </c>
      <c r="R177" s="217">
        <f t="shared" si="48"/>
        <v>0.55000000000000004</v>
      </c>
      <c r="S177" s="217">
        <f t="shared" si="48"/>
        <v>0.55000000000000004</v>
      </c>
      <c r="T177" s="217">
        <f t="shared" si="48"/>
        <v>0.55000000000000004</v>
      </c>
      <c r="U177" s="217">
        <f t="shared" si="48"/>
        <v>0.55000000000000004</v>
      </c>
      <c r="V177" s="217">
        <f t="shared" si="48"/>
        <v>0.55000000000000004</v>
      </c>
      <c r="W177" s="217">
        <f t="shared" si="48"/>
        <v>0.55000000000000004</v>
      </c>
      <c r="X177" s="217">
        <f t="shared" si="48"/>
        <v>0.55000000000000004</v>
      </c>
      <c r="Y177" s="217">
        <f t="shared" si="48"/>
        <v>0.55000000000000004</v>
      </c>
      <c r="Z177" s="217">
        <f t="shared" si="48"/>
        <v>0.55000000000000004</v>
      </c>
      <c r="AA177" s="217">
        <f t="shared" si="48"/>
        <v>0.55000000000000004</v>
      </c>
      <c r="AB177" s="217">
        <f t="shared" si="48"/>
        <v>0.55000000000000004</v>
      </c>
      <c r="AC177" s="217">
        <f t="shared" si="48"/>
        <v>0.55000000000000004</v>
      </c>
      <c r="AD177" s="217">
        <f t="shared" si="48"/>
        <v>0.55000000000000004</v>
      </c>
    </row>
    <row r="178" spans="1:30" s="14" customFormat="1" outlineLevel="1">
      <c r="A178" s="14" t="s">
        <v>105</v>
      </c>
      <c r="B178" s="13" t="s">
        <v>26</v>
      </c>
      <c r="C178" s="44">
        <f>SUM(D178:AD178)</f>
        <v>51.054545454545448</v>
      </c>
      <c r="D178" s="80">
        <f t="shared" ref="D178:AD178" si="49">D154*D159*D176/D177*1000</f>
        <v>0</v>
      </c>
      <c r="E178" s="80">
        <f t="shared" si="49"/>
        <v>0</v>
      </c>
      <c r="F178" s="80">
        <f t="shared" si="49"/>
        <v>4.116083916083916</v>
      </c>
      <c r="G178" s="80">
        <f t="shared" si="49"/>
        <v>6.8727272727272712</v>
      </c>
      <c r="H178" s="80">
        <f t="shared" si="49"/>
        <v>6.8727272727272712</v>
      </c>
      <c r="I178" s="80">
        <f t="shared" si="49"/>
        <v>6.8727272727272712</v>
      </c>
      <c r="J178" s="80">
        <f t="shared" si="49"/>
        <v>7.2125874125874105</v>
      </c>
      <c r="K178" s="80">
        <f t="shared" si="49"/>
        <v>4.0405594405594414</v>
      </c>
      <c r="L178" s="80">
        <f t="shared" si="49"/>
        <v>2.9454545454545453</v>
      </c>
      <c r="M178" s="80">
        <f t="shared" si="49"/>
        <v>2.9454545454545453</v>
      </c>
      <c r="N178" s="80">
        <f t="shared" si="49"/>
        <v>2.9454545454545453</v>
      </c>
      <c r="O178" s="80">
        <f t="shared" si="49"/>
        <v>2.9454545454545453</v>
      </c>
      <c r="P178" s="80">
        <f t="shared" si="49"/>
        <v>3.2853146853146855</v>
      </c>
      <c r="Q178" s="80">
        <f t="shared" si="49"/>
        <v>0</v>
      </c>
      <c r="R178" s="80">
        <f t="shared" si="49"/>
        <v>0</v>
      </c>
      <c r="S178" s="80">
        <f t="shared" si="49"/>
        <v>0</v>
      </c>
      <c r="T178" s="80">
        <f t="shared" si="49"/>
        <v>0</v>
      </c>
      <c r="U178" s="80">
        <f t="shared" si="49"/>
        <v>0</v>
      </c>
      <c r="V178" s="80">
        <f t="shared" si="49"/>
        <v>0</v>
      </c>
      <c r="W178" s="80">
        <f t="shared" si="49"/>
        <v>0</v>
      </c>
      <c r="X178" s="80">
        <f t="shared" si="49"/>
        <v>0</v>
      </c>
      <c r="Y178" s="80">
        <f t="shared" si="49"/>
        <v>0</v>
      </c>
      <c r="Z178" s="80">
        <f t="shared" si="49"/>
        <v>0</v>
      </c>
      <c r="AA178" s="80">
        <f t="shared" si="49"/>
        <v>0</v>
      </c>
      <c r="AB178" s="80">
        <f t="shared" si="49"/>
        <v>0</v>
      </c>
      <c r="AC178" s="80">
        <f t="shared" si="49"/>
        <v>0</v>
      </c>
      <c r="AD178" s="80">
        <f t="shared" si="49"/>
        <v>0</v>
      </c>
    </row>
    <row r="179" spans="1:30" outlineLevel="1">
      <c r="A179" s="13" t="s">
        <v>612</v>
      </c>
      <c r="B179" s="13" t="s">
        <v>109</v>
      </c>
      <c r="C179" s="44">
        <f>SUM(D179:AD179)</f>
        <v>28.080000000000005</v>
      </c>
      <c r="D179" s="56">
        <f t="shared" ref="D179:AD179" si="50">D177*D178</f>
        <v>0</v>
      </c>
      <c r="E179" s="56">
        <f t="shared" si="50"/>
        <v>0</v>
      </c>
      <c r="F179" s="56">
        <f t="shared" si="50"/>
        <v>2.2638461538461541</v>
      </c>
      <c r="G179" s="56">
        <f t="shared" si="50"/>
        <v>3.7799999999999994</v>
      </c>
      <c r="H179" s="56">
        <f t="shared" si="50"/>
        <v>3.7799999999999994</v>
      </c>
      <c r="I179" s="56">
        <f t="shared" si="50"/>
        <v>3.7799999999999994</v>
      </c>
      <c r="J179" s="56">
        <f t="shared" si="50"/>
        <v>3.9669230769230763</v>
      </c>
      <c r="K179" s="56">
        <f t="shared" si="50"/>
        <v>2.2223076923076928</v>
      </c>
      <c r="L179" s="56">
        <f t="shared" si="50"/>
        <v>1.62</v>
      </c>
      <c r="M179" s="56">
        <f t="shared" si="50"/>
        <v>1.62</v>
      </c>
      <c r="N179" s="56">
        <f t="shared" si="50"/>
        <v>1.62</v>
      </c>
      <c r="O179" s="56">
        <f t="shared" si="50"/>
        <v>1.62</v>
      </c>
      <c r="P179" s="56">
        <f t="shared" si="50"/>
        <v>1.8069230769230771</v>
      </c>
      <c r="Q179" s="56">
        <f t="shared" si="50"/>
        <v>0</v>
      </c>
      <c r="R179" s="56">
        <f t="shared" si="50"/>
        <v>0</v>
      </c>
      <c r="S179" s="56">
        <f t="shared" si="50"/>
        <v>0</v>
      </c>
      <c r="T179" s="56">
        <f t="shared" si="50"/>
        <v>0</v>
      </c>
      <c r="U179" s="56">
        <f t="shared" si="50"/>
        <v>0</v>
      </c>
      <c r="V179" s="56">
        <f t="shared" si="50"/>
        <v>0</v>
      </c>
      <c r="W179" s="56">
        <f t="shared" si="50"/>
        <v>0</v>
      </c>
      <c r="X179" s="56">
        <f t="shared" si="50"/>
        <v>0</v>
      </c>
      <c r="Y179" s="56">
        <f t="shared" si="50"/>
        <v>0</v>
      </c>
      <c r="Z179" s="56">
        <f t="shared" si="50"/>
        <v>0</v>
      </c>
      <c r="AA179" s="56">
        <f t="shared" si="50"/>
        <v>0</v>
      </c>
      <c r="AB179" s="56">
        <f t="shared" si="50"/>
        <v>0</v>
      </c>
      <c r="AC179" s="56">
        <f t="shared" si="50"/>
        <v>0</v>
      </c>
      <c r="AD179" s="56">
        <f t="shared" si="50"/>
        <v>0</v>
      </c>
    </row>
    <row r="180" spans="1:30" ht="33" customHeight="1" outlineLevel="1">
      <c r="A180" s="24" t="s">
        <v>257</v>
      </c>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row>
    <row r="181" spans="1:30" outlineLevel="1">
      <c r="A181" s="13" t="str">
        <f>A170</f>
        <v>copper conc - contained copper - Low Case</v>
      </c>
      <c r="B181" s="13" t="s">
        <v>82</v>
      </c>
      <c r="C181" s="44">
        <f>SUM(D181:AD181)</f>
        <v>5610.4071744000012</v>
      </c>
      <c r="D181" s="42">
        <f t="shared" ref="D181:AD181" si="51">D170*D100*2.2046</f>
        <v>0</v>
      </c>
      <c r="E181" s="42">
        <f t="shared" si="51"/>
        <v>0</v>
      </c>
      <c r="F181" s="42">
        <f t="shared" si="51"/>
        <v>239.11837772307695</v>
      </c>
      <c r="G181" s="42">
        <f t="shared" si="51"/>
        <v>399.2618784</v>
      </c>
      <c r="H181" s="42">
        <f t="shared" si="51"/>
        <v>399.2618784</v>
      </c>
      <c r="I181" s="42">
        <f t="shared" si="51"/>
        <v>399.2618784</v>
      </c>
      <c r="J181" s="42">
        <f t="shared" si="51"/>
        <v>419.00559766153845</v>
      </c>
      <c r="K181" s="42">
        <f t="shared" si="51"/>
        <v>366.35567963076926</v>
      </c>
      <c r="L181" s="42">
        <f t="shared" si="51"/>
        <v>378.52100159999998</v>
      </c>
      <c r="M181" s="42">
        <f t="shared" si="51"/>
        <v>378.52100159999998</v>
      </c>
      <c r="N181" s="42">
        <f t="shared" si="51"/>
        <v>378.52100159999998</v>
      </c>
      <c r="O181" s="42">
        <f t="shared" si="51"/>
        <v>378.52100159999998</v>
      </c>
      <c r="P181" s="42">
        <f t="shared" si="51"/>
        <v>380.3158851692308</v>
      </c>
      <c r="Q181" s="42">
        <f t="shared" si="51"/>
        <v>362.96534400000002</v>
      </c>
      <c r="R181" s="42">
        <f t="shared" si="51"/>
        <v>362.96534400000002</v>
      </c>
      <c r="S181" s="42">
        <f t="shared" si="51"/>
        <v>362.96534400000002</v>
      </c>
      <c r="T181" s="42">
        <f t="shared" si="51"/>
        <v>404.84596061538468</v>
      </c>
      <c r="U181" s="42">
        <f t="shared" si="51"/>
        <v>0</v>
      </c>
      <c r="V181" s="42">
        <f t="shared" si="51"/>
        <v>0</v>
      </c>
      <c r="W181" s="42">
        <f t="shared" si="51"/>
        <v>0</v>
      </c>
      <c r="X181" s="42">
        <f t="shared" si="51"/>
        <v>0</v>
      </c>
      <c r="Y181" s="42">
        <f t="shared" si="51"/>
        <v>0</v>
      </c>
      <c r="Z181" s="42">
        <f t="shared" si="51"/>
        <v>0</v>
      </c>
      <c r="AA181" s="42">
        <f t="shared" si="51"/>
        <v>0</v>
      </c>
      <c r="AB181" s="42">
        <f t="shared" si="51"/>
        <v>0</v>
      </c>
      <c r="AC181" s="42">
        <f t="shared" si="51"/>
        <v>0</v>
      </c>
      <c r="AD181" s="42">
        <f t="shared" si="51"/>
        <v>0</v>
      </c>
    </row>
    <row r="182" spans="1:30" outlineLevel="1">
      <c r="A182" s="13" t="str">
        <f>A171</f>
        <v>copper conc - contained gold</v>
      </c>
      <c r="B182" s="13" t="s">
        <v>82</v>
      </c>
      <c r="C182" s="44">
        <f>SUM(D182:AD182)</f>
        <v>608.41157556270082</v>
      </c>
      <c r="D182" s="42">
        <f t="shared" ref="D182:AD183" si="52">D171*D101/1000</f>
        <v>0</v>
      </c>
      <c r="E182" s="42">
        <f t="shared" si="52"/>
        <v>0</v>
      </c>
      <c r="F182" s="42">
        <f t="shared" si="52"/>
        <v>26.20529309918377</v>
      </c>
      <c r="G182" s="42">
        <f t="shared" si="52"/>
        <v>43.755627009646304</v>
      </c>
      <c r="H182" s="42">
        <f t="shared" si="52"/>
        <v>43.755627009646304</v>
      </c>
      <c r="I182" s="42">
        <f t="shared" si="52"/>
        <v>43.755627009646304</v>
      </c>
      <c r="J182" s="42">
        <f t="shared" si="52"/>
        <v>45.919366806826602</v>
      </c>
      <c r="K182" s="42">
        <f t="shared" si="52"/>
        <v>39.828839970319066</v>
      </c>
      <c r="L182" s="42">
        <f t="shared" si="52"/>
        <v>40.977491961414792</v>
      </c>
      <c r="M182" s="42">
        <f t="shared" si="52"/>
        <v>40.977491961414792</v>
      </c>
      <c r="N182" s="42">
        <f t="shared" si="52"/>
        <v>40.977491961414792</v>
      </c>
      <c r="O182" s="42">
        <f t="shared" si="52"/>
        <v>40.977491961414792</v>
      </c>
      <c r="P182" s="42">
        <f t="shared" si="52"/>
        <v>41.217907494434826</v>
      </c>
      <c r="Q182" s="42">
        <f t="shared" si="52"/>
        <v>38.893890675241153</v>
      </c>
      <c r="R182" s="42">
        <f t="shared" si="52"/>
        <v>38.893890675241153</v>
      </c>
      <c r="S182" s="42">
        <f t="shared" si="52"/>
        <v>38.893890675241153</v>
      </c>
      <c r="T182" s="42">
        <f t="shared" si="52"/>
        <v>43.381647291615131</v>
      </c>
      <c r="U182" s="42">
        <f t="shared" si="52"/>
        <v>0</v>
      </c>
      <c r="V182" s="42">
        <f t="shared" si="52"/>
        <v>0</v>
      </c>
      <c r="W182" s="42">
        <f t="shared" si="52"/>
        <v>0</v>
      </c>
      <c r="X182" s="42">
        <f t="shared" si="52"/>
        <v>0</v>
      </c>
      <c r="Y182" s="42">
        <f t="shared" si="52"/>
        <v>0</v>
      </c>
      <c r="Z182" s="42">
        <f t="shared" si="52"/>
        <v>0</v>
      </c>
      <c r="AA182" s="42">
        <f t="shared" si="52"/>
        <v>0</v>
      </c>
      <c r="AB182" s="42">
        <f t="shared" si="52"/>
        <v>0</v>
      </c>
      <c r="AC182" s="42">
        <f t="shared" si="52"/>
        <v>0</v>
      </c>
      <c r="AD182" s="42">
        <f t="shared" si="52"/>
        <v>0</v>
      </c>
    </row>
    <row r="183" spans="1:30" outlineLevel="1">
      <c r="A183" s="13" t="str">
        <f>A172</f>
        <v>copper conc - contained silver</v>
      </c>
      <c r="B183" s="13" t="s">
        <v>82</v>
      </c>
      <c r="C183" s="44">
        <f>SUM(D183:AD183)</f>
        <v>50.160771704180071</v>
      </c>
      <c r="D183" s="42">
        <f t="shared" si="52"/>
        <v>0</v>
      </c>
      <c r="E183" s="42">
        <f t="shared" si="52"/>
        <v>0</v>
      </c>
      <c r="F183" s="42">
        <f t="shared" si="52"/>
        <v>4.0440267128370015</v>
      </c>
      <c r="G183" s="42">
        <f t="shared" si="52"/>
        <v>6.752411575562701</v>
      </c>
      <c r="H183" s="42">
        <f t="shared" si="52"/>
        <v>6.752411575562701</v>
      </c>
      <c r="I183" s="42">
        <f t="shared" si="52"/>
        <v>6.752411575562701</v>
      </c>
      <c r="J183" s="42">
        <f t="shared" si="52"/>
        <v>7.0863220380905254</v>
      </c>
      <c r="K183" s="42">
        <f t="shared" si="52"/>
        <v>3.9698243878308186</v>
      </c>
      <c r="L183" s="42">
        <f t="shared" si="52"/>
        <v>2.8938906752411575</v>
      </c>
      <c r="M183" s="42">
        <f t="shared" si="52"/>
        <v>2.8938906752411575</v>
      </c>
      <c r="N183" s="42">
        <f t="shared" si="52"/>
        <v>2.8938906752411575</v>
      </c>
      <c r="O183" s="42">
        <f t="shared" si="52"/>
        <v>2.8938906752411575</v>
      </c>
      <c r="P183" s="42">
        <f t="shared" si="52"/>
        <v>3.2278011377689828</v>
      </c>
      <c r="Q183" s="42">
        <f t="shared" si="52"/>
        <v>0</v>
      </c>
      <c r="R183" s="42">
        <f t="shared" si="52"/>
        <v>0</v>
      </c>
      <c r="S183" s="42">
        <f t="shared" si="52"/>
        <v>0</v>
      </c>
      <c r="T183" s="42">
        <f t="shared" si="52"/>
        <v>0</v>
      </c>
      <c r="U183" s="42">
        <f t="shared" si="52"/>
        <v>0</v>
      </c>
      <c r="V183" s="42">
        <f t="shared" si="52"/>
        <v>0</v>
      </c>
      <c r="W183" s="42">
        <f t="shared" si="52"/>
        <v>0</v>
      </c>
      <c r="X183" s="42">
        <f t="shared" si="52"/>
        <v>0</v>
      </c>
      <c r="Y183" s="42">
        <f t="shared" si="52"/>
        <v>0</v>
      </c>
      <c r="Z183" s="42">
        <f t="shared" si="52"/>
        <v>0</v>
      </c>
      <c r="AA183" s="42">
        <f t="shared" si="52"/>
        <v>0</v>
      </c>
      <c r="AB183" s="42">
        <f t="shared" si="52"/>
        <v>0</v>
      </c>
      <c r="AC183" s="42">
        <f t="shared" si="52"/>
        <v>0</v>
      </c>
      <c r="AD183" s="42">
        <f t="shared" si="52"/>
        <v>0</v>
      </c>
    </row>
    <row r="184" spans="1:30" outlineLevel="1">
      <c r="A184" s="13" t="str">
        <f>A179</f>
        <v>moly concentrate - contained moly - Low Case</v>
      </c>
      <c r="B184" s="13" t="s">
        <v>82</v>
      </c>
      <c r="C184" s="44">
        <f>SUM(D184:AD184)</f>
        <v>1238.1033599999998</v>
      </c>
      <c r="D184" s="42">
        <f t="shared" ref="D184:AD184" si="53">D179*2.2046*D103</f>
        <v>0</v>
      </c>
      <c r="E184" s="42">
        <f t="shared" si="53"/>
        <v>0</v>
      </c>
      <c r="F184" s="42">
        <f t="shared" si="53"/>
        <v>99.817504615384621</v>
      </c>
      <c r="G184" s="42">
        <f t="shared" si="53"/>
        <v>166.66775999999999</v>
      </c>
      <c r="H184" s="42">
        <f t="shared" si="53"/>
        <v>166.66775999999999</v>
      </c>
      <c r="I184" s="42">
        <f t="shared" si="53"/>
        <v>166.66775999999999</v>
      </c>
      <c r="J184" s="42">
        <f t="shared" si="53"/>
        <v>174.90957230769229</v>
      </c>
      <c r="K184" s="42">
        <f t="shared" si="53"/>
        <v>97.985990769230796</v>
      </c>
      <c r="L184" s="42">
        <f t="shared" si="53"/>
        <v>71.429040000000001</v>
      </c>
      <c r="M184" s="42">
        <f t="shared" si="53"/>
        <v>71.429040000000001</v>
      </c>
      <c r="N184" s="42">
        <f t="shared" si="53"/>
        <v>71.429040000000001</v>
      </c>
      <c r="O184" s="42">
        <f t="shared" si="53"/>
        <v>71.429040000000001</v>
      </c>
      <c r="P184" s="42">
        <f t="shared" si="53"/>
        <v>79.670852307692314</v>
      </c>
      <c r="Q184" s="42">
        <f t="shared" si="53"/>
        <v>0</v>
      </c>
      <c r="R184" s="42">
        <f t="shared" si="53"/>
        <v>0</v>
      </c>
      <c r="S184" s="42">
        <f t="shared" si="53"/>
        <v>0</v>
      </c>
      <c r="T184" s="42">
        <f t="shared" si="53"/>
        <v>0</v>
      </c>
      <c r="U184" s="42">
        <f t="shared" si="53"/>
        <v>0</v>
      </c>
      <c r="V184" s="42">
        <f t="shared" si="53"/>
        <v>0</v>
      </c>
      <c r="W184" s="42">
        <f t="shared" si="53"/>
        <v>0</v>
      </c>
      <c r="X184" s="42">
        <f t="shared" si="53"/>
        <v>0</v>
      </c>
      <c r="Y184" s="42">
        <f t="shared" si="53"/>
        <v>0</v>
      </c>
      <c r="Z184" s="42">
        <f t="shared" si="53"/>
        <v>0</v>
      </c>
      <c r="AA184" s="42">
        <f t="shared" si="53"/>
        <v>0</v>
      </c>
      <c r="AB184" s="42">
        <f t="shared" si="53"/>
        <v>0</v>
      </c>
      <c r="AC184" s="42">
        <f t="shared" si="53"/>
        <v>0</v>
      </c>
      <c r="AD184" s="42">
        <f t="shared" si="53"/>
        <v>0</v>
      </c>
    </row>
    <row r="185" spans="1:30" outlineLevel="1">
      <c r="A185" s="13" t="s">
        <v>121</v>
      </c>
      <c r="C185" s="55">
        <f>SUM(D185:AD185)</f>
        <v>7507.0828816668809</v>
      </c>
      <c r="D185" s="70">
        <f t="shared" ref="D185:AD185" si="54">SUM(D181:D184)</f>
        <v>0</v>
      </c>
      <c r="E185" s="70">
        <f t="shared" si="54"/>
        <v>0</v>
      </c>
      <c r="F185" s="70">
        <f t="shared" si="54"/>
        <v>369.18520215048238</v>
      </c>
      <c r="G185" s="70">
        <f t="shared" si="54"/>
        <v>616.43767698520901</v>
      </c>
      <c r="H185" s="70">
        <f t="shared" si="54"/>
        <v>616.43767698520901</v>
      </c>
      <c r="I185" s="70">
        <f t="shared" si="54"/>
        <v>616.43767698520901</v>
      </c>
      <c r="J185" s="70">
        <f t="shared" si="54"/>
        <v>646.92085881414789</v>
      </c>
      <c r="K185" s="70">
        <f t="shared" si="54"/>
        <v>508.14033475814995</v>
      </c>
      <c r="L185" s="70">
        <f t="shared" si="54"/>
        <v>493.8214242366559</v>
      </c>
      <c r="M185" s="70">
        <f t="shared" si="54"/>
        <v>493.8214242366559</v>
      </c>
      <c r="N185" s="70">
        <f t="shared" si="54"/>
        <v>493.8214242366559</v>
      </c>
      <c r="O185" s="70">
        <f t="shared" si="54"/>
        <v>493.8214242366559</v>
      </c>
      <c r="P185" s="70">
        <f t="shared" si="54"/>
        <v>504.43244610912694</v>
      </c>
      <c r="Q185" s="70">
        <f t="shared" si="54"/>
        <v>401.85923467524117</v>
      </c>
      <c r="R185" s="70">
        <f t="shared" si="54"/>
        <v>401.85923467524117</v>
      </c>
      <c r="S185" s="70">
        <f t="shared" si="54"/>
        <v>401.85923467524117</v>
      </c>
      <c r="T185" s="70">
        <f t="shared" si="54"/>
        <v>448.22760790699982</v>
      </c>
      <c r="U185" s="70">
        <f t="shared" si="54"/>
        <v>0</v>
      </c>
      <c r="V185" s="70">
        <f t="shared" si="54"/>
        <v>0</v>
      </c>
      <c r="W185" s="70">
        <f t="shared" si="54"/>
        <v>0</v>
      </c>
      <c r="X185" s="70">
        <f t="shared" si="54"/>
        <v>0</v>
      </c>
      <c r="Y185" s="70">
        <f t="shared" si="54"/>
        <v>0</v>
      </c>
      <c r="Z185" s="70">
        <f t="shared" si="54"/>
        <v>0</v>
      </c>
      <c r="AA185" s="70">
        <f t="shared" si="54"/>
        <v>0</v>
      </c>
      <c r="AB185" s="70">
        <f t="shared" si="54"/>
        <v>0</v>
      </c>
      <c r="AC185" s="70">
        <f t="shared" si="54"/>
        <v>0</v>
      </c>
      <c r="AD185" s="70">
        <f t="shared" si="54"/>
        <v>0</v>
      </c>
    </row>
    <row r="186" spans="1:30" ht="51" customHeight="1">
      <c r="A186" s="23" t="s">
        <v>198</v>
      </c>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row>
    <row r="187" spans="1:30" s="8" customFormat="1" ht="15.5" outlineLevel="1">
      <c r="A187" s="242" t="str">
        <f>'Expected NPV &amp; Common Data'!A$36</f>
        <v>Calendar Year --&gt;</v>
      </c>
      <c r="B187" s="243" t="str">
        <f>'Expected NPV &amp; Common Data'!B$36</f>
        <v>units</v>
      </c>
      <c r="C187" s="244" t="str">
        <f>'Expected NPV &amp; Common Data'!C$36</f>
        <v>Total</v>
      </c>
      <c r="D187" s="245">
        <f>'Expected NPV &amp; Common Data'!D$36</f>
        <v>2027</v>
      </c>
      <c r="E187" s="245">
        <f>'Expected NPV &amp; Common Data'!E$36</f>
        <v>2028</v>
      </c>
      <c r="F187" s="245">
        <f>'Expected NPV &amp; Common Data'!F$36</f>
        <v>2029</v>
      </c>
      <c r="G187" s="245">
        <f>'Expected NPV &amp; Common Data'!G$36</f>
        <v>2030</v>
      </c>
      <c r="H187" s="245">
        <f>'Expected NPV &amp; Common Data'!H$36</f>
        <v>2031</v>
      </c>
      <c r="I187" s="245">
        <f>'Expected NPV &amp; Common Data'!I$36</f>
        <v>2032</v>
      </c>
      <c r="J187" s="245">
        <f>'Expected NPV &amp; Common Data'!J$36</f>
        <v>2033</v>
      </c>
      <c r="K187" s="245">
        <f>'Expected NPV &amp; Common Data'!K$36</f>
        <v>2034</v>
      </c>
      <c r="L187" s="245">
        <f>'Expected NPV &amp; Common Data'!L$36</f>
        <v>2035</v>
      </c>
      <c r="M187" s="245">
        <f>'Expected NPV &amp; Common Data'!M$36</f>
        <v>2036</v>
      </c>
      <c r="N187" s="245">
        <f>'Expected NPV &amp; Common Data'!N$36</f>
        <v>2037</v>
      </c>
      <c r="O187" s="245">
        <f>'Expected NPV &amp; Common Data'!O$36</f>
        <v>2038</v>
      </c>
      <c r="P187" s="245">
        <f>'Expected NPV &amp; Common Data'!P$36</f>
        <v>2039</v>
      </c>
      <c r="Q187" s="245">
        <f>'Expected NPV &amp; Common Data'!Q$36</f>
        <v>2040</v>
      </c>
      <c r="R187" s="245">
        <f>'Expected NPV &amp; Common Data'!R$36</f>
        <v>2041</v>
      </c>
      <c r="S187" s="245">
        <f>'Expected NPV &amp; Common Data'!S$36</f>
        <v>2042</v>
      </c>
      <c r="T187" s="245">
        <f>'Expected NPV &amp; Common Data'!T$36</f>
        <v>2043</v>
      </c>
      <c r="U187" s="245">
        <f>'Expected NPV &amp; Common Data'!U$36</f>
        <v>2044</v>
      </c>
      <c r="V187" s="245">
        <f>'Expected NPV &amp; Common Data'!V$36</f>
        <v>2045</v>
      </c>
      <c r="W187" s="245">
        <f>'Expected NPV &amp; Common Data'!W$36</f>
        <v>2046</v>
      </c>
      <c r="X187" s="245">
        <f>'Expected NPV &amp; Common Data'!X$36</f>
        <v>2047</v>
      </c>
      <c r="Y187" s="245">
        <f>'Expected NPV &amp; Common Data'!Y$36</f>
        <v>2048</v>
      </c>
      <c r="Z187" s="245">
        <f>'Expected NPV &amp; Common Data'!Z$36</f>
        <v>2049</v>
      </c>
      <c r="AA187" s="245">
        <f>'Expected NPV &amp; Common Data'!AA$36</f>
        <v>2050</v>
      </c>
      <c r="AB187" s="245">
        <f>'Expected NPV &amp; Common Data'!AB$36</f>
        <v>2051</v>
      </c>
      <c r="AC187" s="245">
        <f>'Expected NPV &amp; Common Data'!AC$36</f>
        <v>2052</v>
      </c>
      <c r="AD187" s="245">
        <f>'Expected NPV &amp; Common Data'!AD$36</f>
        <v>2053</v>
      </c>
    </row>
    <row r="188" spans="1:30" ht="33" customHeight="1" outlineLevel="1">
      <c r="A188" s="24" t="s">
        <v>199</v>
      </c>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row>
    <row r="189" spans="1:30" outlineLevel="1">
      <c r="A189" s="134" t="s">
        <v>571</v>
      </c>
      <c r="C189" s="44"/>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row>
    <row r="190" spans="1:30" ht="14.4" customHeight="1" outlineLevel="1">
      <c r="A190" s="214" t="s">
        <v>95</v>
      </c>
      <c r="B190" s="214" t="s">
        <v>8</v>
      </c>
      <c r="C190" s="57"/>
      <c r="D190" s="219">
        <v>9</v>
      </c>
      <c r="E190" s="219">
        <f t="shared" ref="E190:AD190" si="55">D190</f>
        <v>9</v>
      </c>
      <c r="F190" s="219">
        <f t="shared" si="55"/>
        <v>9</v>
      </c>
      <c r="G190" s="219">
        <f t="shared" si="55"/>
        <v>9</v>
      </c>
      <c r="H190" s="219">
        <f t="shared" si="55"/>
        <v>9</v>
      </c>
      <c r="I190" s="219">
        <f t="shared" si="55"/>
        <v>9</v>
      </c>
      <c r="J190" s="219">
        <f t="shared" si="55"/>
        <v>9</v>
      </c>
      <c r="K190" s="219">
        <f t="shared" si="55"/>
        <v>9</v>
      </c>
      <c r="L190" s="219">
        <f t="shared" si="55"/>
        <v>9</v>
      </c>
      <c r="M190" s="219">
        <f t="shared" si="55"/>
        <v>9</v>
      </c>
      <c r="N190" s="219">
        <f t="shared" si="55"/>
        <v>9</v>
      </c>
      <c r="O190" s="219">
        <f t="shared" si="55"/>
        <v>9</v>
      </c>
      <c r="P190" s="219">
        <f t="shared" si="55"/>
        <v>9</v>
      </c>
      <c r="Q190" s="219">
        <f t="shared" si="55"/>
        <v>9</v>
      </c>
      <c r="R190" s="219">
        <f t="shared" si="55"/>
        <v>9</v>
      </c>
      <c r="S190" s="219">
        <f t="shared" si="55"/>
        <v>9</v>
      </c>
      <c r="T190" s="219">
        <f t="shared" si="55"/>
        <v>9</v>
      </c>
      <c r="U190" s="219">
        <f t="shared" si="55"/>
        <v>9</v>
      </c>
      <c r="V190" s="219">
        <f t="shared" si="55"/>
        <v>9</v>
      </c>
      <c r="W190" s="219">
        <f t="shared" si="55"/>
        <v>9</v>
      </c>
      <c r="X190" s="219">
        <f t="shared" si="55"/>
        <v>9</v>
      </c>
      <c r="Y190" s="219">
        <f t="shared" si="55"/>
        <v>9</v>
      </c>
      <c r="Z190" s="219">
        <f t="shared" si="55"/>
        <v>9</v>
      </c>
      <c r="AA190" s="219">
        <f t="shared" si="55"/>
        <v>9</v>
      </c>
      <c r="AB190" s="219">
        <f t="shared" si="55"/>
        <v>9</v>
      </c>
      <c r="AC190" s="219">
        <f t="shared" si="55"/>
        <v>9</v>
      </c>
      <c r="AD190" s="219">
        <f t="shared" si="55"/>
        <v>9</v>
      </c>
    </row>
    <row r="191" spans="1:30" ht="13.5" outlineLevel="1" thickBot="1">
      <c r="A191" s="13" t="s">
        <v>256</v>
      </c>
      <c r="B191" s="13" t="s">
        <v>81</v>
      </c>
      <c r="C191" s="44"/>
      <c r="D191" s="42">
        <f t="shared" ref="D191:AD191" si="56">IF(E166=0,0,D166*D190/52)</f>
        <v>0</v>
      </c>
      <c r="E191" s="42">
        <f t="shared" si="56"/>
        <v>0</v>
      </c>
      <c r="F191" s="42">
        <f t="shared" si="56"/>
        <v>17.301851498377555</v>
      </c>
      <c r="G191" s="42">
        <f t="shared" si="56"/>
        <v>28.889330024813894</v>
      </c>
      <c r="H191" s="42">
        <f t="shared" si="56"/>
        <v>28.889330024813894</v>
      </c>
      <c r="I191" s="42">
        <f t="shared" si="56"/>
        <v>28.889330024813894</v>
      </c>
      <c r="J191" s="42">
        <f t="shared" si="56"/>
        <v>30.317923267799202</v>
      </c>
      <c r="K191" s="42">
        <f t="shared" si="56"/>
        <v>26.508341286505058</v>
      </c>
      <c r="L191" s="42">
        <f t="shared" si="56"/>
        <v>27.388585607940442</v>
      </c>
      <c r="M191" s="42">
        <f t="shared" si="56"/>
        <v>27.388585607940442</v>
      </c>
      <c r="N191" s="42">
        <f t="shared" si="56"/>
        <v>27.388585607940442</v>
      </c>
      <c r="O191" s="42">
        <f t="shared" si="56"/>
        <v>27.388585607940442</v>
      </c>
      <c r="P191" s="42">
        <f t="shared" si="56"/>
        <v>27.518457720939118</v>
      </c>
      <c r="Q191" s="42">
        <f t="shared" si="56"/>
        <v>26.263027295285362</v>
      </c>
      <c r="R191" s="42">
        <f t="shared" si="56"/>
        <v>26.263027295285362</v>
      </c>
      <c r="S191" s="42">
        <f t="shared" si="56"/>
        <v>26.263027295285362</v>
      </c>
      <c r="T191" s="42">
        <f t="shared" si="56"/>
        <v>0</v>
      </c>
      <c r="U191" s="42">
        <f t="shared" si="56"/>
        <v>0</v>
      </c>
      <c r="V191" s="42">
        <f t="shared" si="56"/>
        <v>0</v>
      </c>
      <c r="W191" s="42">
        <f t="shared" si="56"/>
        <v>0</v>
      </c>
      <c r="X191" s="42">
        <f t="shared" si="56"/>
        <v>0</v>
      </c>
      <c r="Y191" s="42">
        <f t="shared" si="56"/>
        <v>0</v>
      </c>
      <c r="Z191" s="42">
        <f t="shared" si="56"/>
        <v>0</v>
      </c>
      <c r="AA191" s="42">
        <f t="shared" si="56"/>
        <v>0</v>
      </c>
      <c r="AB191" s="42">
        <f t="shared" si="56"/>
        <v>0</v>
      </c>
      <c r="AC191" s="42">
        <f t="shared" si="56"/>
        <v>0</v>
      </c>
      <c r="AD191" s="42">
        <f t="shared" si="56"/>
        <v>0</v>
      </c>
    </row>
    <row r="192" spans="1:30" s="14" customFormat="1" ht="13.5" outlineLevel="1" thickBot="1">
      <c r="A192" s="14" t="s">
        <v>80</v>
      </c>
      <c r="B192" s="13" t="s">
        <v>81</v>
      </c>
      <c r="C192" s="44">
        <f>SUM(D192:AD192)</f>
        <v>2345.4967741935484</v>
      </c>
      <c r="D192" s="58">
        <f>D166-D191</f>
        <v>0</v>
      </c>
      <c r="E192" s="55">
        <f t="shared" ref="E192:AD192" si="57">D191+E166-E191</f>
        <v>0</v>
      </c>
      <c r="F192" s="55">
        <f t="shared" si="57"/>
        <v>82.664401603359423</v>
      </c>
      <c r="G192" s="55">
        <f t="shared" si="57"/>
        <v>155.32865050582171</v>
      </c>
      <c r="H192" s="55">
        <f t="shared" si="57"/>
        <v>166.91612903225806</v>
      </c>
      <c r="I192" s="55">
        <f t="shared" si="57"/>
        <v>166.91612903225806</v>
      </c>
      <c r="J192" s="55">
        <f t="shared" si="57"/>
        <v>173.74163008207671</v>
      </c>
      <c r="K192" s="55">
        <f t="shared" si="57"/>
        <v>156.96888719221226</v>
      </c>
      <c r="L192" s="55">
        <f t="shared" si="57"/>
        <v>157.36491696888714</v>
      </c>
      <c r="M192" s="55">
        <f t="shared" si="57"/>
        <v>158.24516129032253</v>
      </c>
      <c r="N192" s="55">
        <f t="shared" si="57"/>
        <v>158.24516129032253</v>
      </c>
      <c r="O192" s="55">
        <f t="shared" si="57"/>
        <v>158.24516129032253</v>
      </c>
      <c r="P192" s="55">
        <f t="shared" si="57"/>
        <v>158.86566138576063</v>
      </c>
      <c r="Q192" s="55">
        <f t="shared" si="57"/>
        <v>152.99736590952475</v>
      </c>
      <c r="R192" s="55">
        <f t="shared" si="57"/>
        <v>151.74193548387098</v>
      </c>
      <c r="S192" s="55">
        <f t="shared" si="57"/>
        <v>151.74193548387098</v>
      </c>
      <c r="T192" s="55">
        <f t="shared" si="57"/>
        <v>195.5136476426799</v>
      </c>
      <c r="U192" s="55">
        <f t="shared" si="57"/>
        <v>0</v>
      </c>
      <c r="V192" s="55">
        <f t="shared" si="57"/>
        <v>0</v>
      </c>
      <c r="W192" s="55">
        <f t="shared" si="57"/>
        <v>0</v>
      </c>
      <c r="X192" s="55">
        <f t="shared" si="57"/>
        <v>0</v>
      </c>
      <c r="Y192" s="55">
        <f t="shared" si="57"/>
        <v>0</v>
      </c>
      <c r="Z192" s="55">
        <f t="shared" si="57"/>
        <v>0</v>
      </c>
      <c r="AA192" s="55">
        <f t="shared" si="57"/>
        <v>0</v>
      </c>
      <c r="AB192" s="55">
        <f t="shared" si="57"/>
        <v>0</v>
      </c>
      <c r="AC192" s="55">
        <f t="shared" si="57"/>
        <v>0</v>
      </c>
      <c r="AD192" s="55">
        <f t="shared" si="57"/>
        <v>0</v>
      </c>
    </row>
    <row r="193" spans="1:30" outlineLevel="1">
      <c r="A193" s="134" t="s">
        <v>547</v>
      </c>
      <c r="C193" s="44"/>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row>
    <row r="194" spans="1:30" outlineLevel="1">
      <c r="A194" s="214" t="s">
        <v>44</v>
      </c>
      <c r="B194" s="214" t="s">
        <v>119</v>
      </c>
      <c r="C194" s="258"/>
      <c r="D194" s="220">
        <v>0.1</v>
      </c>
      <c r="E194" s="220">
        <f t="shared" ref="E194:AD194" si="58">D194</f>
        <v>0.1</v>
      </c>
      <c r="F194" s="220">
        <f t="shared" si="58"/>
        <v>0.1</v>
      </c>
      <c r="G194" s="220">
        <f t="shared" si="58"/>
        <v>0.1</v>
      </c>
      <c r="H194" s="220">
        <f t="shared" si="58"/>
        <v>0.1</v>
      </c>
      <c r="I194" s="220">
        <f t="shared" si="58"/>
        <v>0.1</v>
      </c>
      <c r="J194" s="220">
        <f t="shared" si="58"/>
        <v>0.1</v>
      </c>
      <c r="K194" s="220">
        <f t="shared" si="58"/>
        <v>0.1</v>
      </c>
      <c r="L194" s="220">
        <f t="shared" si="58"/>
        <v>0.1</v>
      </c>
      <c r="M194" s="220">
        <f t="shared" si="58"/>
        <v>0.1</v>
      </c>
      <c r="N194" s="220">
        <f t="shared" si="58"/>
        <v>0.1</v>
      </c>
      <c r="O194" s="220">
        <f t="shared" si="58"/>
        <v>0.1</v>
      </c>
      <c r="P194" s="220">
        <f t="shared" si="58"/>
        <v>0.1</v>
      </c>
      <c r="Q194" s="220">
        <f t="shared" si="58"/>
        <v>0.1</v>
      </c>
      <c r="R194" s="220">
        <f t="shared" si="58"/>
        <v>0.1</v>
      </c>
      <c r="S194" s="220">
        <f t="shared" si="58"/>
        <v>0.1</v>
      </c>
      <c r="T194" s="220">
        <f t="shared" si="58"/>
        <v>0.1</v>
      </c>
      <c r="U194" s="220">
        <f t="shared" si="58"/>
        <v>0.1</v>
      </c>
      <c r="V194" s="220">
        <f t="shared" si="58"/>
        <v>0.1</v>
      </c>
      <c r="W194" s="220">
        <f t="shared" si="58"/>
        <v>0.1</v>
      </c>
      <c r="X194" s="220">
        <f t="shared" si="58"/>
        <v>0.1</v>
      </c>
      <c r="Y194" s="220">
        <f t="shared" si="58"/>
        <v>0.1</v>
      </c>
      <c r="Z194" s="220">
        <f t="shared" si="58"/>
        <v>0.1</v>
      </c>
      <c r="AA194" s="220">
        <f t="shared" si="58"/>
        <v>0.1</v>
      </c>
      <c r="AB194" s="220">
        <f t="shared" si="58"/>
        <v>0.1</v>
      </c>
      <c r="AC194" s="220">
        <f t="shared" si="58"/>
        <v>0.1</v>
      </c>
      <c r="AD194" s="220">
        <f t="shared" si="58"/>
        <v>0.1</v>
      </c>
    </row>
    <row r="195" spans="1:30" outlineLevel="1">
      <c r="A195" s="13" t="s">
        <v>258</v>
      </c>
      <c r="B195" s="13" t="s">
        <v>85</v>
      </c>
      <c r="C195" s="44">
        <f>SUM(D195:AD195)</f>
        <v>2606.1075268817199</v>
      </c>
      <c r="D195" s="42">
        <f t="shared" ref="D195:AD195" si="59">D192/(1-D194)</f>
        <v>0</v>
      </c>
      <c r="E195" s="42">
        <f t="shared" si="59"/>
        <v>0</v>
      </c>
      <c r="F195" s="42">
        <f t="shared" si="59"/>
        <v>91.849335114843797</v>
      </c>
      <c r="G195" s="42">
        <f t="shared" si="59"/>
        <v>172.58738945091301</v>
      </c>
      <c r="H195" s="42">
        <f t="shared" si="59"/>
        <v>185.46236559139783</v>
      </c>
      <c r="I195" s="42">
        <f t="shared" si="59"/>
        <v>185.46236559139783</v>
      </c>
      <c r="J195" s="42">
        <f t="shared" si="59"/>
        <v>193.04625564675189</v>
      </c>
      <c r="K195" s="42">
        <f t="shared" si="59"/>
        <v>174.40987465801362</v>
      </c>
      <c r="L195" s="42">
        <f t="shared" si="59"/>
        <v>174.84990774320792</v>
      </c>
      <c r="M195" s="42">
        <f t="shared" si="59"/>
        <v>175.82795698924724</v>
      </c>
      <c r="N195" s="42">
        <f t="shared" si="59"/>
        <v>175.82795698924724</v>
      </c>
      <c r="O195" s="42">
        <f t="shared" si="59"/>
        <v>175.82795698924724</v>
      </c>
      <c r="P195" s="42">
        <f t="shared" si="59"/>
        <v>176.51740153973404</v>
      </c>
      <c r="Q195" s="42">
        <f t="shared" si="59"/>
        <v>169.99707323280526</v>
      </c>
      <c r="R195" s="42">
        <f t="shared" si="59"/>
        <v>168.6021505376344</v>
      </c>
      <c r="S195" s="42">
        <f t="shared" si="59"/>
        <v>168.6021505376344</v>
      </c>
      <c r="T195" s="42">
        <f t="shared" si="59"/>
        <v>217.23738626964433</v>
      </c>
      <c r="U195" s="42">
        <f t="shared" si="59"/>
        <v>0</v>
      </c>
      <c r="V195" s="42">
        <f t="shared" si="59"/>
        <v>0</v>
      </c>
      <c r="W195" s="42">
        <f t="shared" si="59"/>
        <v>0</v>
      </c>
      <c r="X195" s="42">
        <f t="shared" si="59"/>
        <v>0</v>
      </c>
      <c r="Y195" s="42">
        <f t="shared" si="59"/>
        <v>0</v>
      </c>
      <c r="Z195" s="42">
        <f t="shared" si="59"/>
        <v>0</v>
      </c>
      <c r="AA195" s="42">
        <f t="shared" si="59"/>
        <v>0</v>
      </c>
      <c r="AB195" s="42">
        <f t="shared" si="59"/>
        <v>0</v>
      </c>
      <c r="AC195" s="42">
        <f t="shared" si="59"/>
        <v>0</v>
      </c>
      <c r="AD195" s="42">
        <f t="shared" si="59"/>
        <v>0</v>
      </c>
    </row>
    <row r="196" spans="1:30" outlineLevel="1">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row>
    <row r="197" spans="1:30" ht="33" customHeight="1" outlineLevel="1">
      <c r="A197" s="24" t="s">
        <v>200</v>
      </c>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row>
    <row r="198" spans="1:30" outlineLevel="1">
      <c r="A198" s="134" t="s">
        <v>572</v>
      </c>
      <c r="C198" s="44"/>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row>
    <row r="199" spans="1:30" ht="14.4" customHeight="1" outlineLevel="1">
      <c r="A199" s="214" t="s">
        <v>96</v>
      </c>
      <c r="B199" s="214" t="s">
        <v>8</v>
      </c>
      <c r="C199" s="57"/>
      <c r="D199" s="219">
        <v>12</v>
      </c>
      <c r="E199" s="219">
        <f t="shared" ref="E199:AD199" si="60">D199</f>
        <v>12</v>
      </c>
      <c r="F199" s="219">
        <f t="shared" si="60"/>
        <v>12</v>
      </c>
      <c r="G199" s="219">
        <f t="shared" si="60"/>
        <v>12</v>
      </c>
      <c r="H199" s="219">
        <f t="shared" si="60"/>
        <v>12</v>
      </c>
      <c r="I199" s="219">
        <f t="shared" si="60"/>
        <v>12</v>
      </c>
      <c r="J199" s="219">
        <f t="shared" si="60"/>
        <v>12</v>
      </c>
      <c r="K199" s="219">
        <f t="shared" si="60"/>
        <v>12</v>
      </c>
      <c r="L199" s="219">
        <f t="shared" si="60"/>
        <v>12</v>
      </c>
      <c r="M199" s="219">
        <f t="shared" si="60"/>
        <v>12</v>
      </c>
      <c r="N199" s="219">
        <f t="shared" si="60"/>
        <v>12</v>
      </c>
      <c r="O199" s="219">
        <f t="shared" si="60"/>
        <v>12</v>
      </c>
      <c r="P199" s="219">
        <f t="shared" si="60"/>
        <v>12</v>
      </c>
      <c r="Q199" s="219">
        <f t="shared" si="60"/>
        <v>12</v>
      </c>
      <c r="R199" s="219">
        <f t="shared" si="60"/>
        <v>12</v>
      </c>
      <c r="S199" s="219">
        <f t="shared" si="60"/>
        <v>12</v>
      </c>
      <c r="T199" s="219">
        <f t="shared" si="60"/>
        <v>12</v>
      </c>
      <c r="U199" s="219">
        <f t="shared" si="60"/>
        <v>12</v>
      </c>
      <c r="V199" s="219">
        <f t="shared" si="60"/>
        <v>12</v>
      </c>
      <c r="W199" s="219">
        <f t="shared" si="60"/>
        <v>12</v>
      </c>
      <c r="X199" s="219">
        <f t="shared" si="60"/>
        <v>12</v>
      </c>
      <c r="Y199" s="219">
        <f t="shared" si="60"/>
        <v>12</v>
      </c>
      <c r="Z199" s="219">
        <f t="shared" si="60"/>
        <v>12</v>
      </c>
      <c r="AA199" s="219">
        <f t="shared" si="60"/>
        <v>12</v>
      </c>
      <c r="AB199" s="219">
        <f t="shared" si="60"/>
        <v>12</v>
      </c>
      <c r="AC199" s="219">
        <f t="shared" si="60"/>
        <v>12</v>
      </c>
      <c r="AD199" s="219">
        <f t="shared" si="60"/>
        <v>12</v>
      </c>
    </row>
    <row r="200" spans="1:30" ht="13.5" outlineLevel="1" thickBot="1">
      <c r="A200" s="13" t="s">
        <v>110</v>
      </c>
      <c r="B200" s="13" t="s">
        <v>81</v>
      </c>
      <c r="C200" s="44"/>
      <c r="D200" s="56">
        <f t="shared" ref="D200:AD200" si="61">IF(E178=0,0,D178*D199/52)</f>
        <v>0</v>
      </c>
      <c r="E200" s="56">
        <f t="shared" si="61"/>
        <v>0</v>
      </c>
      <c r="F200" s="56">
        <f t="shared" si="61"/>
        <v>0.94986551909628836</v>
      </c>
      <c r="G200" s="56">
        <f t="shared" si="61"/>
        <v>1.5860139860139857</v>
      </c>
      <c r="H200" s="56">
        <f t="shared" si="61"/>
        <v>1.5860139860139857</v>
      </c>
      <c r="I200" s="56">
        <f t="shared" si="61"/>
        <v>1.5860139860139857</v>
      </c>
      <c r="J200" s="56">
        <f t="shared" si="61"/>
        <v>1.6644432490586332</v>
      </c>
      <c r="K200" s="56">
        <f t="shared" si="61"/>
        <v>0.9324367939752557</v>
      </c>
      <c r="L200" s="56">
        <f t="shared" si="61"/>
        <v>0.67972027972027971</v>
      </c>
      <c r="M200" s="56">
        <f t="shared" si="61"/>
        <v>0.67972027972027971</v>
      </c>
      <c r="N200" s="56">
        <f t="shared" si="61"/>
        <v>0.67972027972027971</v>
      </c>
      <c r="O200" s="56">
        <f t="shared" si="61"/>
        <v>0.67972027972027971</v>
      </c>
      <c r="P200" s="56">
        <f t="shared" si="61"/>
        <v>0</v>
      </c>
      <c r="Q200" s="56">
        <f t="shared" si="61"/>
        <v>0</v>
      </c>
      <c r="R200" s="56">
        <f t="shared" si="61"/>
        <v>0</v>
      </c>
      <c r="S200" s="56">
        <f t="shared" si="61"/>
        <v>0</v>
      </c>
      <c r="T200" s="56">
        <f t="shared" si="61"/>
        <v>0</v>
      </c>
      <c r="U200" s="56">
        <f t="shared" si="61"/>
        <v>0</v>
      </c>
      <c r="V200" s="56">
        <f t="shared" si="61"/>
        <v>0</v>
      </c>
      <c r="W200" s="56">
        <f t="shared" si="61"/>
        <v>0</v>
      </c>
      <c r="X200" s="56">
        <f t="shared" si="61"/>
        <v>0</v>
      </c>
      <c r="Y200" s="56">
        <f t="shared" si="61"/>
        <v>0</v>
      </c>
      <c r="Z200" s="56">
        <f t="shared" si="61"/>
        <v>0</v>
      </c>
      <c r="AA200" s="56">
        <f t="shared" si="61"/>
        <v>0</v>
      </c>
      <c r="AB200" s="56">
        <f t="shared" si="61"/>
        <v>0</v>
      </c>
      <c r="AC200" s="56">
        <f t="shared" si="61"/>
        <v>0</v>
      </c>
      <c r="AD200" s="56">
        <f t="shared" si="61"/>
        <v>0</v>
      </c>
    </row>
    <row r="201" spans="1:30" s="14" customFormat="1" ht="13.5" outlineLevel="1" thickBot="1">
      <c r="A201" s="14" t="s">
        <v>111</v>
      </c>
      <c r="B201" s="13" t="s">
        <v>81</v>
      </c>
      <c r="C201" s="44">
        <f>SUM(D201:AD201)</f>
        <v>51.054545454545455</v>
      </c>
      <c r="D201" s="58">
        <f>D178-D200</f>
        <v>0</v>
      </c>
      <c r="E201" s="55">
        <f t="shared" ref="E201:AD201" si="62">D200+E178-E200</f>
        <v>0</v>
      </c>
      <c r="F201" s="55">
        <f t="shared" si="62"/>
        <v>3.1662183969876274</v>
      </c>
      <c r="G201" s="55">
        <f t="shared" si="62"/>
        <v>6.2365788058095744</v>
      </c>
      <c r="H201" s="55">
        <f t="shared" si="62"/>
        <v>6.8727272727272721</v>
      </c>
      <c r="I201" s="55">
        <f t="shared" si="62"/>
        <v>6.8727272727272721</v>
      </c>
      <c r="J201" s="55">
        <f t="shared" si="62"/>
        <v>7.1341581495427633</v>
      </c>
      <c r="K201" s="55">
        <f t="shared" si="62"/>
        <v>4.7725658956428196</v>
      </c>
      <c r="L201" s="55">
        <f t="shared" si="62"/>
        <v>3.1981710597095212</v>
      </c>
      <c r="M201" s="55">
        <f t="shared" si="62"/>
        <v>2.9454545454545453</v>
      </c>
      <c r="N201" s="55">
        <f t="shared" si="62"/>
        <v>2.9454545454545453</v>
      </c>
      <c r="O201" s="55">
        <f t="shared" si="62"/>
        <v>2.9454545454545453</v>
      </c>
      <c r="P201" s="55">
        <f t="shared" si="62"/>
        <v>3.965034965034965</v>
      </c>
      <c r="Q201" s="55">
        <f t="shared" si="62"/>
        <v>0</v>
      </c>
      <c r="R201" s="55">
        <f t="shared" si="62"/>
        <v>0</v>
      </c>
      <c r="S201" s="55">
        <f t="shared" si="62"/>
        <v>0</v>
      </c>
      <c r="T201" s="55">
        <f t="shared" si="62"/>
        <v>0</v>
      </c>
      <c r="U201" s="55">
        <f t="shared" si="62"/>
        <v>0</v>
      </c>
      <c r="V201" s="55">
        <f t="shared" si="62"/>
        <v>0</v>
      </c>
      <c r="W201" s="55">
        <f t="shared" si="62"/>
        <v>0</v>
      </c>
      <c r="X201" s="55">
        <f t="shared" si="62"/>
        <v>0</v>
      </c>
      <c r="Y201" s="55">
        <f t="shared" si="62"/>
        <v>0</v>
      </c>
      <c r="Z201" s="55">
        <f t="shared" si="62"/>
        <v>0</v>
      </c>
      <c r="AA201" s="55">
        <f t="shared" si="62"/>
        <v>0</v>
      </c>
      <c r="AB201" s="55">
        <f t="shared" si="62"/>
        <v>0</v>
      </c>
      <c r="AC201" s="55">
        <f t="shared" si="62"/>
        <v>0</v>
      </c>
      <c r="AD201" s="55">
        <f t="shared" si="62"/>
        <v>0</v>
      </c>
    </row>
    <row r="202" spans="1:30" outlineLevel="1">
      <c r="A202" s="134" t="s">
        <v>547</v>
      </c>
      <c r="C202" s="44"/>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row>
    <row r="203" spans="1:30" outlineLevel="1">
      <c r="A203" s="214" t="s">
        <v>44</v>
      </c>
      <c r="B203" s="214" t="s">
        <v>119</v>
      </c>
      <c r="C203" s="258"/>
      <c r="D203" s="220">
        <v>0.1</v>
      </c>
      <c r="E203" s="220">
        <f t="shared" ref="E203:AD203" si="63">D203</f>
        <v>0.1</v>
      </c>
      <c r="F203" s="220">
        <f t="shared" si="63"/>
        <v>0.1</v>
      </c>
      <c r="G203" s="220">
        <f t="shared" si="63"/>
        <v>0.1</v>
      </c>
      <c r="H203" s="220">
        <f t="shared" si="63"/>
        <v>0.1</v>
      </c>
      <c r="I203" s="220">
        <f t="shared" si="63"/>
        <v>0.1</v>
      </c>
      <c r="J203" s="220">
        <f t="shared" si="63"/>
        <v>0.1</v>
      </c>
      <c r="K203" s="220">
        <f t="shared" si="63"/>
        <v>0.1</v>
      </c>
      <c r="L203" s="220">
        <f t="shared" si="63"/>
        <v>0.1</v>
      </c>
      <c r="M203" s="220">
        <f t="shared" si="63"/>
        <v>0.1</v>
      </c>
      <c r="N203" s="220">
        <f t="shared" si="63"/>
        <v>0.1</v>
      </c>
      <c r="O203" s="220">
        <f t="shared" si="63"/>
        <v>0.1</v>
      </c>
      <c r="P203" s="220">
        <f t="shared" si="63"/>
        <v>0.1</v>
      </c>
      <c r="Q203" s="220">
        <f t="shared" si="63"/>
        <v>0.1</v>
      </c>
      <c r="R203" s="220">
        <f t="shared" si="63"/>
        <v>0.1</v>
      </c>
      <c r="S203" s="220">
        <f t="shared" si="63"/>
        <v>0.1</v>
      </c>
      <c r="T203" s="220">
        <f t="shared" si="63"/>
        <v>0.1</v>
      </c>
      <c r="U203" s="220">
        <f t="shared" si="63"/>
        <v>0.1</v>
      </c>
      <c r="V203" s="220">
        <f t="shared" si="63"/>
        <v>0.1</v>
      </c>
      <c r="W203" s="220">
        <f t="shared" si="63"/>
        <v>0.1</v>
      </c>
      <c r="X203" s="220">
        <f t="shared" si="63"/>
        <v>0.1</v>
      </c>
      <c r="Y203" s="220">
        <f t="shared" si="63"/>
        <v>0.1</v>
      </c>
      <c r="Z203" s="220">
        <f t="shared" si="63"/>
        <v>0.1</v>
      </c>
      <c r="AA203" s="220">
        <f t="shared" si="63"/>
        <v>0.1</v>
      </c>
      <c r="AB203" s="220">
        <f t="shared" si="63"/>
        <v>0.1</v>
      </c>
      <c r="AC203" s="220">
        <f t="shared" si="63"/>
        <v>0.1</v>
      </c>
      <c r="AD203" s="220">
        <f t="shared" si="63"/>
        <v>0.1</v>
      </c>
    </row>
    <row r="204" spans="1:30" outlineLevel="1">
      <c r="A204" s="13" t="s">
        <v>259</v>
      </c>
      <c r="B204" s="13" t="s">
        <v>85</v>
      </c>
      <c r="C204" s="44">
        <f>SUM(D204:AD204)</f>
        <v>56.727272727272727</v>
      </c>
      <c r="D204" s="42">
        <f t="shared" ref="D204:AD204" si="64">D201/(1-D203)</f>
        <v>0</v>
      </c>
      <c r="E204" s="42">
        <f t="shared" si="64"/>
        <v>0</v>
      </c>
      <c r="F204" s="42">
        <f t="shared" si="64"/>
        <v>3.5180204410973639</v>
      </c>
      <c r="G204" s="42">
        <f t="shared" si="64"/>
        <v>6.9295320064550827</v>
      </c>
      <c r="H204" s="42">
        <f t="shared" si="64"/>
        <v>7.6363636363636358</v>
      </c>
      <c r="I204" s="42">
        <f t="shared" si="64"/>
        <v>7.6363636363636358</v>
      </c>
      <c r="J204" s="42">
        <f t="shared" si="64"/>
        <v>7.9268423883808481</v>
      </c>
      <c r="K204" s="42">
        <f t="shared" si="64"/>
        <v>5.3028509951586882</v>
      </c>
      <c r="L204" s="42">
        <f t="shared" si="64"/>
        <v>3.5535233996772457</v>
      </c>
      <c r="M204" s="42">
        <f t="shared" si="64"/>
        <v>3.2727272727272725</v>
      </c>
      <c r="N204" s="42">
        <f t="shared" si="64"/>
        <v>3.2727272727272725</v>
      </c>
      <c r="O204" s="42">
        <f t="shared" si="64"/>
        <v>3.2727272727272725</v>
      </c>
      <c r="P204" s="42">
        <f t="shared" si="64"/>
        <v>4.4055944055944058</v>
      </c>
      <c r="Q204" s="42">
        <f t="shared" si="64"/>
        <v>0</v>
      </c>
      <c r="R204" s="42">
        <f t="shared" si="64"/>
        <v>0</v>
      </c>
      <c r="S204" s="42">
        <f t="shared" si="64"/>
        <v>0</v>
      </c>
      <c r="T204" s="42">
        <f t="shared" si="64"/>
        <v>0</v>
      </c>
      <c r="U204" s="42">
        <f t="shared" si="64"/>
        <v>0</v>
      </c>
      <c r="V204" s="42">
        <f t="shared" si="64"/>
        <v>0</v>
      </c>
      <c r="W204" s="42">
        <f t="shared" si="64"/>
        <v>0</v>
      </c>
      <c r="X204" s="42">
        <f t="shared" si="64"/>
        <v>0</v>
      </c>
      <c r="Y204" s="42">
        <f t="shared" si="64"/>
        <v>0</v>
      </c>
      <c r="Z204" s="42">
        <f t="shared" si="64"/>
        <v>0</v>
      </c>
      <c r="AA204" s="42">
        <f t="shared" si="64"/>
        <v>0</v>
      </c>
      <c r="AB204" s="42">
        <f t="shared" si="64"/>
        <v>0</v>
      </c>
      <c r="AC204" s="42">
        <f t="shared" si="64"/>
        <v>0</v>
      </c>
      <c r="AD204" s="42">
        <f t="shared" si="64"/>
        <v>0</v>
      </c>
    </row>
    <row r="205" spans="1:30" outlineLevel="1">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row>
    <row r="206" spans="1:30" s="8" customFormat="1" ht="15.5" outlineLevel="1">
      <c r="A206" s="242" t="str">
        <f>'Expected NPV &amp; Common Data'!A$36</f>
        <v>Calendar Year --&gt;</v>
      </c>
      <c r="B206" s="243" t="str">
        <f>'Expected NPV &amp; Common Data'!B$36</f>
        <v>units</v>
      </c>
      <c r="C206" s="244" t="str">
        <f>'Expected NPV &amp; Common Data'!C$36</f>
        <v>Total</v>
      </c>
      <c r="D206" s="245">
        <f>'Expected NPV &amp; Common Data'!D$36</f>
        <v>2027</v>
      </c>
      <c r="E206" s="245">
        <f>'Expected NPV &amp; Common Data'!E$36</f>
        <v>2028</v>
      </c>
      <c r="F206" s="245">
        <f>'Expected NPV &amp; Common Data'!F$36</f>
        <v>2029</v>
      </c>
      <c r="G206" s="245">
        <f>'Expected NPV &amp; Common Data'!G$36</f>
        <v>2030</v>
      </c>
      <c r="H206" s="245">
        <f>'Expected NPV &amp; Common Data'!H$36</f>
        <v>2031</v>
      </c>
      <c r="I206" s="245">
        <f>'Expected NPV &amp; Common Data'!I$36</f>
        <v>2032</v>
      </c>
      <c r="J206" s="245">
        <f>'Expected NPV &amp; Common Data'!J$36</f>
        <v>2033</v>
      </c>
      <c r="K206" s="245">
        <f>'Expected NPV &amp; Common Data'!K$36</f>
        <v>2034</v>
      </c>
      <c r="L206" s="245">
        <f>'Expected NPV &amp; Common Data'!L$36</f>
        <v>2035</v>
      </c>
      <c r="M206" s="245">
        <f>'Expected NPV &amp; Common Data'!M$36</f>
        <v>2036</v>
      </c>
      <c r="N206" s="245">
        <f>'Expected NPV &amp; Common Data'!N$36</f>
        <v>2037</v>
      </c>
      <c r="O206" s="245">
        <f>'Expected NPV &amp; Common Data'!O$36</f>
        <v>2038</v>
      </c>
      <c r="P206" s="245">
        <f>'Expected NPV &amp; Common Data'!P$36</f>
        <v>2039</v>
      </c>
      <c r="Q206" s="245">
        <f>'Expected NPV &amp; Common Data'!Q$36</f>
        <v>2040</v>
      </c>
      <c r="R206" s="245">
        <f>'Expected NPV &amp; Common Data'!R$36</f>
        <v>2041</v>
      </c>
      <c r="S206" s="245">
        <f>'Expected NPV &amp; Common Data'!S$36</f>
        <v>2042</v>
      </c>
      <c r="T206" s="245">
        <f>'Expected NPV &amp; Common Data'!T$36</f>
        <v>2043</v>
      </c>
      <c r="U206" s="245">
        <f>'Expected NPV &amp; Common Data'!U$36</f>
        <v>2044</v>
      </c>
      <c r="V206" s="245">
        <f>'Expected NPV &amp; Common Data'!V$36</f>
        <v>2045</v>
      </c>
      <c r="W206" s="245">
        <f>'Expected NPV &amp; Common Data'!W$36</f>
        <v>2046</v>
      </c>
      <c r="X206" s="245">
        <f>'Expected NPV &amp; Common Data'!X$36</f>
        <v>2047</v>
      </c>
      <c r="Y206" s="245">
        <f>'Expected NPV &amp; Common Data'!Y$36</f>
        <v>2048</v>
      </c>
      <c r="Z206" s="245">
        <f>'Expected NPV &amp; Common Data'!Z$36</f>
        <v>2049</v>
      </c>
      <c r="AA206" s="245">
        <f>'Expected NPV &amp; Common Data'!AA$36</f>
        <v>2050</v>
      </c>
      <c r="AB206" s="245">
        <f>'Expected NPV &amp; Common Data'!AB$36</f>
        <v>2051</v>
      </c>
      <c r="AC206" s="245">
        <f>'Expected NPV &amp; Common Data'!AC$36</f>
        <v>2052</v>
      </c>
      <c r="AD206" s="245">
        <f>'Expected NPV &amp; Common Data'!AD$36</f>
        <v>2053</v>
      </c>
    </row>
    <row r="207" spans="1:30" ht="51" customHeight="1">
      <c r="A207" s="23" t="s">
        <v>201</v>
      </c>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row>
    <row r="208" spans="1:30" ht="130" customHeight="1">
      <c r="A208" s="23"/>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row>
    <row r="209" spans="1:30" ht="33" customHeight="1" outlineLevel="1">
      <c r="A209" s="24" t="s">
        <v>202</v>
      </c>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row>
    <row r="210" spans="1:30" s="134" customFormat="1" outlineLevel="1">
      <c r="A210" s="63" t="str">
        <f>'Expected NPV &amp; Common Data'!A41</f>
        <v>25 Nov 2025 S Mullah email of expected copper concentrate terms.  Pay the lesser of: 1.an absolute deduction of 1% Cu or 2. a percentage deduction of contained copper according to Cu assay.  (Can research on Internet)</v>
      </c>
      <c r="C210" s="259"/>
      <c r="D210" s="260"/>
      <c r="E210" s="260"/>
      <c r="F210" s="260"/>
      <c r="G210" s="260"/>
      <c r="H210" s="260"/>
      <c r="I210" s="260"/>
      <c r="J210" s="260"/>
      <c r="K210" s="260"/>
      <c r="L210" s="260"/>
      <c r="M210" s="260"/>
      <c r="N210" s="260"/>
      <c r="O210" s="260"/>
      <c r="P210" s="260"/>
      <c r="Q210" s="260"/>
      <c r="R210" s="260"/>
      <c r="S210" s="260"/>
      <c r="T210" s="260"/>
      <c r="U210" s="260"/>
      <c r="V210" s="260"/>
      <c r="W210" s="260"/>
      <c r="X210" s="260"/>
      <c r="Y210" s="260"/>
      <c r="Z210" s="260"/>
      <c r="AA210" s="260"/>
      <c r="AB210" s="260"/>
      <c r="AC210" s="260"/>
      <c r="AD210" s="260"/>
    </row>
    <row r="211" spans="1:30" outlineLevel="1">
      <c r="A211" s="50" t="s">
        <v>263</v>
      </c>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c r="AA211" s="42"/>
      <c r="AB211" s="42"/>
      <c r="AC211" s="42"/>
      <c r="AD211" s="42"/>
    </row>
    <row r="212" spans="1:30" outlineLevel="1">
      <c r="A212" s="45" t="s">
        <v>103</v>
      </c>
      <c r="B212" s="13" t="s">
        <v>35</v>
      </c>
      <c r="C212" s="38"/>
      <c r="D212" s="46">
        <f t="shared" ref="D212:AD212" si="65">IF(D166=0,0,D165)</f>
        <v>0</v>
      </c>
      <c r="E212" s="46">
        <f t="shared" si="65"/>
        <v>0</v>
      </c>
      <c r="F212" s="46">
        <f t="shared" si="65"/>
        <v>0.31</v>
      </c>
      <c r="G212" s="46">
        <f t="shared" si="65"/>
        <v>0.31</v>
      </c>
      <c r="H212" s="46">
        <f t="shared" si="65"/>
        <v>0.31</v>
      </c>
      <c r="I212" s="46">
        <f t="shared" si="65"/>
        <v>0.31</v>
      </c>
      <c r="J212" s="46">
        <f t="shared" si="65"/>
        <v>0.31</v>
      </c>
      <c r="K212" s="46">
        <f t="shared" si="65"/>
        <v>0.31</v>
      </c>
      <c r="L212" s="46">
        <f t="shared" si="65"/>
        <v>0.31</v>
      </c>
      <c r="M212" s="46">
        <f t="shared" si="65"/>
        <v>0.31</v>
      </c>
      <c r="N212" s="46">
        <f t="shared" si="65"/>
        <v>0.31</v>
      </c>
      <c r="O212" s="46">
        <f t="shared" si="65"/>
        <v>0.31</v>
      </c>
      <c r="P212" s="46">
        <f t="shared" si="65"/>
        <v>0.31</v>
      </c>
      <c r="Q212" s="46">
        <f t="shared" si="65"/>
        <v>0.31</v>
      </c>
      <c r="R212" s="46">
        <f t="shared" si="65"/>
        <v>0.31</v>
      </c>
      <c r="S212" s="46">
        <f t="shared" si="65"/>
        <v>0.31</v>
      </c>
      <c r="T212" s="46">
        <f t="shared" si="65"/>
        <v>0.31</v>
      </c>
      <c r="U212" s="46">
        <f t="shared" si="65"/>
        <v>0</v>
      </c>
      <c r="V212" s="46">
        <f t="shared" si="65"/>
        <v>0</v>
      </c>
      <c r="W212" s="46">
        <f t="shared" si="65"/>
        <v>0</v>
      </c>
      <c r="X212" s="46">
        <f t="shared" si="65"/>
        <v>0</v>
      </c>
      <c r="Y212" s="46">
        <f t="shared" si="65"/>
        <v>0</v>
      </c>
      <c r="Z212" s="46">
        <f t="shared" si="65"/>
        <v>0</v>
      </c>
      <c r="AA212" s="46">
        <f t="shared" si="65"/>
        <v>0</v>
      </c>
      <c r="AB212" s="46">
        <f t="shared" si="65"/>
        <v>0</v>
      </c>
      <c r="AC212" s="46">
        <f t="shared" si="65"/>
        <v>0</v>
      </c>
      <c r="AD212" s="46">
        <f t="shared" si="65"/>
        <v>0</v>
      </c>
    </row>
    <row r="213" spans="1:30" outlineLevel="1">
      <c r="A213" s="49" t="s">
        <v>155</v>
      </c>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c r="AA213" s="42"/>
      <c r="AB213" s="42"/>
      <c r="AC213" s="42"/>
      <c r="AD213" s="42"/>
    </row>
    <row r="214" spans="1:30" outlineLevel="1">
      <c r="A214" s="247" t="str">
        <f>'Expected NPV &amp; Common Data'!A43</f>
        <v>Copper deduction</v>
      </c>
      <c r="B214" s="247" t="str">
        <f>'Expected NPV &amp; Common Data'!B43</f>
        <v>% of contained copper</v>
      </c>
      <c r="C214" s="247"/>
      <c r="D214" s="261">
        <f>'Expected NPV &amp; Common Data'!D43</f>
        <v>3.2500000000000001E-2</v>
      </c>
      <c r="E214" s="261">
        <f>'Expected NPV &amp; Common Data'!E43</f>
        <v>3.2500000000000001E-2</v>
      </c>
      <c r="F214" s="261">
        <f>'Expected NPV &amp; Common Data'!F43</f>
        <v>3.2500000000000001E-2</v>
      </c>
      <c r="G214" s="261">
        <f>'Expected NPV &amp; Common Data'!G43</f>
        <v>3.2500000000000001E-2</v>
      </c>
      <c r="H214" s="261">
        <f>'Expected NPV &amp; Common Data'!H43</f>
        <v>3.2500000000000001E-2</v>
      </c>
      <c r="I214" s="261">
        <f>'Expected NPV &amp; Common Data'!I43</f>
        <v>3.2500000000000001E-2</v>
      </c>
      <c r="J214" s="261">
        <f>'Expected NPV &amp; Common Data'!J43</f>
        <v>3.2500000000000001E-2</v>
      </c>
      <c r="K214" s="261">
        <f>'Expected NPV &amp; Common Data'!K43</f>
        <v>3.2500000000000001E-2</v>
      </c>
      <c r="L214" s="261">
        <f>'Expected NPV &amp; Common Data'!L43</f>
        <v>3.2500000000000001E-2</v>
      </c>
      <c r="M214" s="261">
        <f>'Expected NPV &amp; Common Data'!M43</f>
        <v>3.2500000000000001E-2</v>
      </c>
      <c r="N214" s="261">
        <f>'Expected NPV &amp; Common Data'!N43</f>
        <v>3.2500000000000001E-2</v>
      </c>
      <c r="O214" s="261">
        <f>'Expected NPV &amp; Common Data'!O43</f>
        <v>3.2500000000000001E-2</v>
      </c>
      <c r="P214" s="261">
        <f>'Expected NPV &amp; Common Data'!P43</f>
        <v>3.2500000000000001E-2</v>
      </c>
      <c r="Q214" s="261">
        <f>'Expected NPV &amp; Common Data'!Q43</f>
        <v>3.2500000000000001E-2</v>
      </c>
      <c r="R214" s="261">
        <f>'Expected NPV &amp; Common Data'!R43</f>
        <v>3.2500000000000001E-2</v>
      </c>
      <c r="S214" s="261">
        <f>'Expected NPV &amp; Common Data'!S43</f>
        <v>3.2500000000000001E-2</v>
      </c>
      <c r="T214" s="261">
        <f>'Expected NPV &amp; Common Data'!T43</f>
        <v>3.2500000000000001E-2</v>
      </c>
      <c r="U214" s="261">
        <f>'Expected NPV &amp; Common Data'!U43</f>
        <v>3.2500000000000001E-2</v>
      </c>
      <c r="V214" s="261">
        <f>'Expected NPV &amp; Common Data'!V43</f>
        <v>3.2500000000000001E-2</v>
      </c>
      <c r="W214" s="261">
        <f>'Expected NPV &amp; Common Data'!W43</f>
        <v>3.2500000000000001E-2</v>
      </c>
      <c r="X214" s="261">
        <f>'Expected NPV &amp; Common Data'!X43</f>
        <v>3.2500000000000001E-2</v>
      </c>
      <c r="Y214" s="261">
        <f>'Expected NPV &amp; Common Data'!Y43</f>
        <v>3.2500000000000001E-2</v>
      </c>
      <c r="Z214" s="261">
        <f>'Expected NPV &amp; Common Data'!Z43</f>
        <v>3.2500000000000001E-2</v>
      </c>
      <c r="AA214" s="261">
        <f>'Expected NPV &amp; Common Data'!AA43</f>
        <v>3.2500000000000001E-2</v>
      </c>
      <c r="AB214" s="261">
        <f>'Expected NPV &amp; Common Data'!AB43</f>
        <v>3.2500000000000001E-2</v>
      </c>
      <c r="AC214" s="261">
        <f>'Expected NPV &amp; Common Data'!AC43</f>
        <v>3.2500000000000001E-2</v>
      </c>
      <c r="AD214" s="261">
        <f>'Expected NPV &amp; Common Data'!AD43</f>
        <v>3.2500000000000001E-2</v>
      </c>
    </row>
    <row r="215" spans="1:30" outlineLevel="1">
      <c r="A215" s="247" t="str">
        <f>'Expected NPV &amp; Common Data'!A44</f>
        <v>Copper concentrate &gt;XX % Cu</v>
      </c>
      <c r="B215" s="247" t="str">
        <f>'Expected NPV &amp; Common Data'!B44</f>
        <v>% Cu</v>
      </c>
      <c r="C215" s="247"/>
      <c r="D215" s="262">
        <f>'Expected NPV &amp; Common Data'!D44</f>
        <v>0.35</v>
      </c>
      <c r="E215" s="262">
        <f>'Expected NPV &amp; Common Data'!E44</f>
        <v>0.35</v>
      </c>
      <c r="F215" s="262">
        <f>'Expected NPV &amp; Common Data'!F44</f>
        <v>0.35</v>
      </c>
      <c r="G215" s="262">
        <f>'Expected NPV &amp; Common Data'!G44</f>
        <v>0.35</v>
      </c>
      <c r="H215" s="262">
        <f>'Expected NPV &amp; Common Data'!H44</f>
        <v>0.35</v>
      </c>
      <c r="I215" s="262">
        <f>'Expected NPV &amp; Common Data'!I44</f>
        <v>0.35</v>
      </c>
      <c r="J215" s="262">
        <f>'Expected NPV &amp; Common Data'!J44</f>
        <v>0.35</v>
      </c>
      <c r="K215" s="262">
        <f>'Expected NPV &amp; Common Data'!K44</f>
        <v>0.35</v>
      </c>
      <c r="L215" s="262">
        <f>'Expected NPV &amp; Common Data'!L44</f>
        <v>0.35</v>
      </c>
      <c r="M215" s="262">
        <f>'Expected NPV &amp; Common Data'!M44</f>
        <v>0.35</v>
      </c>
      <c r="N215" s="262">
        <f>'Expected NPV &amp; Common Data'!N44</f>
        <v>0.35</v>
      </c>
      <c r="O215" s="262">
        <f>'Expected NPV &amp; Common Data'!O44</f>
        <v>0.35</v>
      </c>
      <c r="P215" s="262">
        <f>'Expected NPV &amp; Common Data'!P44</f>
        <v>0.35</v>
      </c>
      <c r="Q215" s="262">
        <f>'Expected NPV &amp; Common Data'!Q44</f>
        <v>0.35</v>
      </c>
      <c r="R215" s="262">
        <f>'Expected NPV &amp; Common Data'!R44</f>
        <v>0.35</v>
      </c>
      <c r="S215" s="262">
        <f>'Expected NPV &amp; Common Data'!S44</f>
        <v>0.35</v>
      </c>
      <c r="T215" s="262">
        <f>'Expected NPV &amp; Common Data'!T44</f>
        <v>0.35</v>
      </c>
      <c r="U215" s="262">
        <f>'Expected NPV &amp; Common Data'!U44</f>
        <v>0.35</v>
      </c>
      <c r="V215" s="262">
        <f>'Expected NPV &amp; Common Data'!V44</f>
        <v>0.35</v>
      </c>
      <c r="W215" s="262">
        <f>'Expected NPV &amp; Common Data'!W44</f>
        <v>0.35</v>
      </c>
      <c r="X215" s="262">
        <f>'Expected NPV &amp; Common Data'!X44</f>
        <v>0.35</v>
      </c>
      <c r="Y215" s="262">
        <f>'Expected NPV &amp; Common Data'!Y44</f>
        <v>0.35</v>
      </c>
      <c r="Z215" s="262">
        <f>'Expected NPV &amp; Common Data'!Z44</f>
        <v>0.35</v>
      </c>
      <c r="AA215" s="262">
        <f>'Expected NPV &amp; Common Data'!AA44</f>
        <v>0.35</v>
      </c>
      <c r="AB215" s="262">
        <f>'Expected NPV &amp; Common Data'!AB44</f>
        <v>0.35</v>
      </c>
      <c r="AC215" s="262">
        <f>'Expected NPV &amp; Common Data'!AC44</f>
        <v>0.35</v>
      </c>
      <c r="AD215" s="262">
        <f>'Expected NPV &amp; Common Data'!AD44</f>
        <v>0.35</v>
      </c>
    </row>
    <row r="216" spans="1:30" outlineLevel="1">
      <c r="A216" s="247" t="str">
        <f>'Expected NPV &amp; Common Data'!A45</f>
        <v>Copper deduction</v>
      </c>
      <c r="B216" s="247" t="str">
        <f>'Expected NPV &amp; Common Data'!B45</f>
        <v>% of contained copper</v>
      </c>
      <c r="C216" s="247"/>
      <c r="D216" s="261">
        <f>'Expected NPV &amp; Common Data'!D45</f>
        <v>3.3500000000000002E-2</v>
      </c>
      <c r="E216" s="261">
        <f>'Expected NPV &amp; Common Data'!E45</f>
        <v>3.3500000000000002E-2</v>
      </c>
      <c r="F216" s="261">
        <f>'Expected NPV &amp; Common Data'!F45</f>
        <v>3.3500000000000002E-2</v>
      </c>
      <c r="G216" s="261">
        <f>'Expected NPV &amp; Common Data'!G45</f>
        <v>3.3500000000000002E-2</v>
      </c>
      <c r="H216" s="261">
        <f>'Expected NPV &amp; Common Data'!H45</f>
        <v>3.3500000000000002E-2</v>
      </c>
      <c r="I216" s="261">
        <f>'Expected NPV &amp; Common Data'!I45</f>
        <v>3.3500000000000002E-2</v>
      </c>
      <c r="J216" s="261">
        <f>'Expected NPV &amp; Common Data'!J45</f>
        <v>3.3500000000000002E-2</v>
      </c>
      <c r="K216" s="261">
        <f>'Expected NPV &amp; Common Data'!K45</f>
        <v>3.3500000000000002E-2</v>
      </c>
      <c r="L216" s="261">
        <f>'Expected NPV &amp; Common Data'!L45</f>
        <v>3.3500000000000002E-2</v>
      </c>
      <c r="M216" s="261">
        <f>'Expected NPV &amp; Common Data'!M45</f>
        <v>3.3500000000000002E-2</v>
      </c>
      <c r="N216" s="261">
        <f>'Expected NPV &amp; Common Data'!N45</f>
        <v>3.3500000000000002E-2</v>
      </c>
      <c r="O216" s="261">
        <f>'Expected NPV &amp; Common Data'!O45</f>
        <v>3.3500000000000002E-2</v>
      </c>
      <c r="P216" s="261">
        <f>'Expected NPV &amp; Common Data'!P45</f>
        <v>3.3500000000000002E-2</v>
      </c>
      <c r="Q216" s="261">
        <f>'Expected NPV &amp; Common Data'!Q45</f>
        <v>3.3500000000000002E-2</v>
      </c>
      <c r="R216" s="261">
        <f>'Expected NPV &amp; Common Data'!R45</f>
        <v>3.3500000000000002E-2</v>
      </c>
      <c r="S216" s="261">
        <f>'Expected NPV &amp; Common Data'!S45</f>
        <v>3.3500000000000002E-2</v>
      </c>
      <c r="T216" s="261">
        <f>'Expected NPV &amp; Common Data'!T45</f>
        <v>3.3500000000000002E-2</v>
      </c>
      <c r="U216" s="261">
        <f>'Expected NPV &amp; Common Data'!U45</f>
        <v>3.3500000000000002E-2</v>
      </c>
      <c r="V216" s="261">
        <f>'Expected NPV &amp; Common Data'!V45</f>
        <v>3.3500000000000002E-2</v>
      </c>
      <c r="W216" s="261">
        <f>'Expected NPV &amp; Common Data'!W45</f>
        <v>3.3500000000000002E-2</v>
      </c>
      <c r="X216" s="261">
        <f>'Expected NPV &amp; Common Data'!X45</f>
        <v>3.3500000000000002E-2</v>
      </c>
      <c r="Y216" s="261">
        <f>'Expected NPV &amp; Common Data'!Y45</f>
        <v>3.3500000000000002E-2</v>
      </c>
      <c r="Z216" s="261">
        <f>'Expected NPV &amp; Common Data'!Z45</f>
        <v>3.3500000000000002E-2</v>
      </c>
      <c r="AA216" s="261">
        <f>'Expected NPV &amp; Common Data'!AA45</f>
        <v>3.3500000000000002E-2</v>
      </c>
      <c r="AB216" s="261">
        <f>'Expected NPV &amp; Common Data'!AB45</f>
        <v>3.3500000000000002E-2</v>
      </c>
      <c r="AC216" s="261">
        <f>'Expected NPV &amp; Common Data'!AC45</f>
        <v>3.3500000000000002E-2</v>
      </c>
      <c r="AD216" s="261">
        <f>'Expected NPV &amp; Common Data'!AD45</f>
        <v>3.3500000000000002E-2</v>
      </c>
    </row>
    <row r="217" spans="1:30" outlineLevel="1">
      <c r="A217" s="247" t="str">
        <f>'Expected NPV &amp; Common Data'!A46</f>
        <v>Copper concentrate &gt;XX % Cu</v>
      </c>
      <c r="B217" s="247" t="str">
        <f>'Expected NPV &amp; Common Data'!B46</f>
        <v>% Cu</v>
      </c>
      <c r="C217" s="247"/>
      <c r="D217" s="262">
        <f>'Expected NPV &amp; Common Data'!D46</f>
        <v>0.3</v>
      </c>
      <c r="E217" s="262">
        <f>'Expected NPV &amp; Common Data'!E46</f>
        <v>0.3</v>
      </c>
      <c r="F217" s="262">
        <f>'Expected NPV &amp; Common Data'!F46</f>
        <v>0.3</v>
      </c>
      <c r="G217" s="262">
        <f>'Expected NPV &amp; Common Data'!G46</f>
        <v>0.3</v>
      </c>
      <c r="H217" s="262">
        <f>'Expected NPV &amp; Common Data'!H46</f>
        <v>0.3</v>
      </c>
      <c r="I217" s="262">
        <f>'Expected NPV &amp; Common Data'!I46</f>
        <v>0.3</v>
      </c>
      <c r="J217" s="262">
        <f>'Expected NPV &amp; Common Data'!J46</f>
        <v>0.3</v>
      </c>
      <c r="K217" s="262">
        <f>'Expected NPV &amp; Common Data'!K46</f>
        <v>0.3</v>
      </c>
      <c r="L217" s="262">
        <f>'Expected NPV &amp; Common Data'!L46</f>
        <v>0.3</v>
      </c>
      <c r="M217" s="262">
        <f>'Expected NPV &amp; Common Data'!M46</f>
        <v>0.3</v>
      </c>
      <c r="N217" s="262">
        <f>'Expected NPV &amp; Common Data'!N46</f>
        <v>0.3</v>
      </c>
      <c r="O217" s="262">
        <f>'Expected NPV &amp; Common Data'!O46</f>
        <v>0.3</v>
      </c>
      <c r="P217" s="262">
        <f>'Expected NPV &amp; Common Data'!P46</f>
        <v>0.3</v>
      </c>
      <c r="Q217" s="262">
        <f>'Expected NPV &amp; Common Data'!Q46</f>
        <v>0.3</v>
      </c>
      <c r="R217" s="262">
        <f>'Expected NPV &amp; Common Data'!R46</f>
        <v>0.3</v>
      </c>
      <c r="S217" s="262">
        <f>'Expected NPV &amp; Common Data'!S46</f>
        <v>0.3</v>
      </c>
      <c r="T217" s="262">
        <f>'Expected NPV &amp; Common Data'!T46</f>
        <v>0.3</v>
      </c>
      <c r="U217" s="262">
        <f>'Expected NPV &amp; Common Data'!U46</f>
        <v>0.3</v>
      </c>
      <c r="V217" s="262">
        <f>'Expected NPV &amp; Common Data'!V46</f>
        <v>0.3</v>
      </c>
      <c r="W217" s="262">
        <f>'Expected NPV &amp; Common Data'!W46</f>
        <v>0.3</v>
      </c>
      <c r="X217" s="262">
        <f>'Expected NPV &amp; Common Data'!X46</f>
        <v>0.3</v>
      </c>
      <c r="Y217" s="262">
        <f>'Expected NPV &amp; Common Data'!Y46</f>
        <v>0.3</v>
      </c>
      <c r="Z217" s="262">
        <f>'Expected NPV &amp; Common Data'!Z46</f>
        <v>0.3</v>
      </c>
      <c r="AA217" s="262">
        <f>'Expected NPV &amp; Common Data'!AA46</f>
        <v>0.3</v>
      </c>
      <c r="AB217" s="262">
        <f>'Expected NPV &amp; Common Data'!AB46</f>
        <v>0.3</v>
      </c>
      <c r="AC217" s="262">
        <f>'Expected NPV &amp; Common Data'!AC46</f>
        <v>0.3</v>
      </c>
      <c r="AD217" s="262">
        <f>'Expected NPV &amp; Common Data'!AD46</f>
        <v>0.3</v>
      </c>
    </row>
    <row r="218" spans="1:30" outlineLevel="1">
      <c r="A218" s="247" t="str">
        <f>'Expected NPV &amp; Common Data'!A47</f>
        <v>Copper deduction</v>
      </c>
      <c r="B218" s="247" t="str">
        <f>'Expected NPV &amp; Common Data'!B47</f>
        <v>% of contained copper</v>
      </c>
      <c r="C218" s="247"/>
      <c r="D218" s="261">
        <f>'Expected NPV &amp; Common Data'!D47</f>
        <v>3.5000000000000003E-2</v>
      </c>
      <c r="E218" s="261">
        <f>'Expected NPV &amp; Common Data'!E47</f>
        <v>3.5000000000000003E-2</v>
      </c>
      <c r="F218" s="261">
        <f>'Expected NPV &amp; Common Data'!F47</f>
        <v>3.5000000000000003E-2</v>
      </c>
      <c r="G218" s="261">
        <f>'Expected NPV &amp; Common Data'!G47</f>
        <v>3.5000000000000003E-2</v>
      </c>
      <c r="H218" s="261">
        <f>'Expected NPV &amp; Common Data'!H47</f>
        <v>3.5000000000000003E-2</v>
      </c>
      <c r="I218" s="261">
        <f>'Expected NPV &amp; Common Data'!I47</f>
        <v>3.5000000000000003E-2</v>
      </c>
      <c r="J218" s="261">
        <f>'Expected NPV &amp; Common Data'!J47</f>
        <v>3.5000000000000003E-2</v>
      </c>
      <c r="K218" s="261">
        <f>'Expected NPV &amp; Common Data'!K47</f>
        <v>3.5000000000000003E-2</v>
      </c>
      <c r="L218" s="261">
        <f>'Expected NPV &amp; Common Data'!L47</f>
        <v>3.5000000000000003E-2</v>
      </c>
      <c r="M218" s="261">
        <f>'Expected NPV &amp; Common Data'!M47</f>
        <v>3.5000000000000003E-2</v>
      </c>
      <c r="N218" s="261">
        <f>'Expected NPV &amp; Common Data'!N47</f>
        <v>3.5000000000000003E-2</v>
      </c>
      <c r="O218" s="261">
        <f>'Expected NPV &amp; Common Data'!O47</f>
        <v>3.5000000000000003E-2</v>
      </c>
      <c r="P218" s="261">
        <f>'Expected NPV &amp; Common Data'!P47</f>
        <v>3.5000000000000003E-2</v>
      </c>
      <c r="Q218" s="261">
        <f>'Expected NPV &amp; Common Data'!Q47</f>
        <v>3.5000000000000003E-2</v>
      </c>
      <c r="R218" s="261">
        <f>'Expected NPV &amp; Common Data'!R47</f>
        <v>3.5000000000000003E-2</v>
      </c>
      <c r="S218" s="261">
        <f>'Expected NPV &amp; Common Data'!S47</f>
        <v>3.5000000000000003E-2</v>
      </c>
      <c r="T218" s="261">
        <f>'Expected NPV &amp; Common Data'!T47</f>
        <v>3.5000000000000003E-2</v>
      </c>
      <c r="U218" s="261">
        <f>'Expected NPV &amp; Common Data'!U47</f>
        <v>3.5000000000000003E-2</v>
      </c>
      <c r="V218" s="261">
        <f>'Expected NPV &amp; Common Data'!V47</f>
        <v>3.5000000000000003E-2</v>
      </c>
      <c r="W218" s="261">
        <f>'Expected NPV &amp; Common Data'!W47</f>
        <v>3.5000000000000003E-2</v>
      </c>
      <c r="X218" s="261">
        <f>'Expected NPV &amp; Common Data'!X47</f>
        <v>3.5000000000000003E-2</v>
      </c>
      <c r="Y218" s="261">
        <f>'Expected NPV &amp; Common Data'!Y47</f>
        <v>3.5000000000000003E-2</v>
      </c>
      <c r="Z218" s="261">
        <f>'Expected NPV &amp; Common Data'!Z47</f>
        <v>3.5000000000000003E-2</v>
      </c>
      <c r="AA218" s="261">
        <f>'Expected NPV &amp; Common Data'!AA47</f>
        <v>3.5000000000000003E-2</v>
      </c>
      <c r="AB218" s="261">
        <f>'Expected NPV &amp; Common Data'!AB47</f>
        <v>3.5000000000000003E-2</v>
      </c>
      <c r="AC218" s="261">
        <f>'Expected NPV &amp; Common Data'!AC47</f>
        <v>3.5000000000000003E-2</v>
      </c>
      <c r="AD218" s="261">
        <f>'Expected NPV &amp; Common Data'!AD47</f>
        <v>3.5000000000000003E-2</v>
      </c>
    </row>
    <row r="219" spans="1:30" outlineLevel="1">
      <c r="A219" s="13" t="s">
        <v>50</v>
      </c>
      <c r="B219" s="13" t="s">
        <v>88</v>
      </c>
      <c r="C219" s="38"/>
      <c r="D219" s="46">
        <f t="shared" ref="D219:AD219" si="66">IF(D165&gt;D215,D214,IF(D165&gt;D217,D216,D218))</f>
        <v>3.3500000000000002E-2</v>
      </c>
      <c r="E219" s="46">
        <f t="shared" si="66"/>
        <v>3.3500000000000002E-2</v>
      </c>
      <c r="F219" s="46">
        <f t="shared" si="66"/>
        <v>3.3500000000000002E-2</v>
      </c>
      <c r="G219" s="46">
        <f t="shared" si="66"/>
        <v>3.3500000000000002E-2</v>
      </c>
      <c r="H219" s="46">
        <f t="shared" si="66"/>
        <v>3.3500000000000002E-2</v>
      </c>
      <c r="I219" s="46">
        <f t="shared" si="66"/>
        <v>3.3500000000000002E-2</v>
      </c>
      <c r="J219" s="46">
        <f t="shared" si="66"/>
        <v>3.3500000000000002E-2</v>
      </c>
      <c r="K219" s="46">
        <f t="shared" si="66"/>
        <v>3.3500000000000002E-2</v>
      </c>
      <c r="L219" s="46">
        <f t="shared" si="66"/>
        <v>3.3500000000000002E-2</v>
      </c>
      <c r="M219" s="46">
        <f t="shared" si="66"/>
        <v>3.3500000000000002E-2</v>
      </c>
      <c r="N219" s="46">
        <f t="shared" si="66"/>
        <v>3.3500000000000002E-2</v>
      </c>
      <c r="O219" s="46">
        <f t="shared" si="66"/>
        <v>3.3500000000000002E-2</v>
      </c>
      <c r="P219" s="46">
        <f t="shared" si="66"/>
        <v>3.3500000000000002E-2</v>
      </c>
      <c r="Q219" s="46">
        <f t="shared" si="66"/>
        <v>3.3500000000000002E-2</v>
      </c>
      <c r="R219" s="46">
        <f t="shared" si="66"/>
        <v>3.3500000000000002E-2</v>
      </c>
      <c r="S219" s="46">
        <f t="shared" si="66"/>
        <v>3.3500000000000002E-2</v>
      </c>
      <c r="T219" s="46">
        <f t="shared" si="66"/>
        <v>3.3500000000000002E-2</v>
      </c>
      <c r="U219" s="46">
        <f t="shared" si="66"/>
        <v>3.3500000000000002E-2</v>
      </c>
      <c r="V219" s="46">
        <f t="shared" si="66"/>
        <v>3.3500000000000002E-2</v>
      </c>
      <c r="W219" s="46">
        <f t="shared" si="66"/>
        <v>3.3500000000000002E-2</v>
      </c>
      <c r="X219" s="46">
        <f t="shared" si="66"/>
        <v>3.3500000000000002E-2</v>
      </c>
      <c r="Y219" s="46">
        <f t="shared" si="66"/>
        <v>3.3500000000000002E-2</v>
      </c>
      <c r="Z219" s="46">
        <f t="shared" si="66"/>
        <v>3.3500000000000002E-2</v>
      </c>
      <c r="AA219" s="46">
        <f t="shared" si="66"/>
        <v>3.3500000000000002E-2</v>
      </c>
      <c r="AB219" s="46">
        <f t="shared" si="66"/>
        <v>3.3500000000000002E-2</v>
      </c>
      <c r="AC219" s="46">
        <f t="shared" si="66"/>
        <v>3.3500000000000002E-2</v>
      </c>
      <c r="AD219" s="46">
        <f t="shared" si="66"/>
        <v>3.3500000000000002E-2</v>
      </c>
    </row>
    <row r="220" spans="1:30" outlineLevel="1">
      <c r="A220" s="13" t="s">
        <v>87</v>
      </c>
      <c r="B220" s="13" t="s">
        <v>88</v>
      </c>
      <c r="C220" s="38"/>
      <c r="D220" s="46">
        <f t="shared" ref="D220:AD220" si="67">1-D219</f>
        <v>0.96650000000000003</v>
      </c>
      <c r="E220" s="46">
        <f t="shared" si="67"/>
        <v>0.96650000000000003</v>
      </c>
      <c r="F220" s="46">
        <f t="shared" si="67"/>
        <v>0.96650000000000003</v>
      </c>
      <c r="G220" s="46">
        <f t="shared" si="67"/>
        <v>0.96650000000000003</v>
      </c>
      <c r="H220" s="46">
        <f t="shared" si="67"/>
        <v>0.96650000000000003</v>
      </c>
      <c r="I220" s="46">
        <f t="shared" si="67"/>
        <v>0.96650000000000003</v>
      </c>
      <c r="J220" s="46">
        <f t="shared" si="67"/>
        <v>0.96650000000000003</v>
      </c>
      <c r="K220" s="46">
        <f t="shared" si="67"/>
        <v>0.96650000000000003</v>
      </c>
      <c r="L220" s="46">
        <f t="shared" si="67"/>
        <v>0.96650000000000003</v>
      </c>
      <c r="M220" s="46">
        <f t="shared" si="67"/>
        <v>0.96650000000000003</v>
      </c>
      <c r="N220" s="46">
        <f t="shared" si="67"/>
        <v>0.96650000000000003</v>
      </c>
      <c r="O220" s="46">
        <f t="shared" si="67"/>
        <v>0.96650000000000003</v>
      </c>
      <c r="P220" s="46">
        <f t="shared" si="67"/>
        <v>0.96650000000000003</v>
      </c>
      <c r="Q220" s="46">
        <f t="shared" si="67"/>
        <v>0.96650000000000003</v>
      </c>
      <c r="R220" s="46">
        <f t="shared" si="67"/>
        <v>0.96650000000000003</v>
      </c>
      <c r="S220" s="46">
        <f t="shared" si="67"/>
        <v>0.96650000000000003</v>
      </c>
      <c r="T220" s="46">
        <f t="shared" si="67"/>
        <v>0.96650000000000003</v>
      </c>
      <c r="U220" s="46">
        <f t="shared" si="67"/>
        <v>0.96650000000000003</v>
      </c>
      <c r="V220" s="46">
        <f t="shared" si="67"/>
        <v>0.96650000000000003</v>
      </c>
      <c r="W220" s="46">
        <f t="shared" si="67"/>
        <v>0.96650000000000003</v>
      </c>
      <c r="X220" s="46">
        <f t="shared" si="67"/>
        <v>0.96650000000000003</v>
      </c>
      <c r="Y220" s="46">
        <f t="shared" si="67"/>
        <v>0.96650000000000003</v>
      </c>
      <c r="Z220" s="46">
        <f t="shared" si="67"/>
        <v>0.96650000000000003</v>
      </c>
      <c r="AA220" s="46">
        <f t="shared" si="67"/>
        <v>0.96650000000000003</v>
      </c>
      <c r="AB220" s="46">
        <f t="shared" si="67"/>
        <v>0.96650000000000003</v>
      </c>
      <c r="AC220" s="46">
        <f t="shared" si="67"/>
        <v>0.96650000000000003</v>
      </c>
      <c r="AD220" s="46">
        <f t="shared" si="67"/>
        <v>0.96650000000000003</v>
      </c>
    </row>
    <row r="221" spans="1:30" outlineLevel="1">
      <c r="A221" s="13" t="s">
        <v>204</v>
      </c>
      <c r="C221" s="38"/>
      <c r="D221" s="46">
        <f t="shared" ref="D221:AD221" si="68">D212*D220</f>
        <v>0</v>
      </c>
      <c r="E221" s="46">
        <f t="shared" si="68"/>
        <v>0</v>
      </c>
      <c r="F221" s="46">
        <f t="shared" si="68"/>
        <v>0.29961500000000002</v>
      </c>
      <c r="G221" s="46">
        <f t="shared" si="68"/>
        <v>0.29961500000000002</v>
      </c>
      <c r="H221" s="46">
        <f t="shared" si="68"/>
        <v>0.29961500000000002</v>
      </c>
      <c r="I221" s="46">
        <f t="shared" si="68"/>
        <v>0.29961500000000002</v>
      </c>
      <c r="J221" s="46">
        <f t="shared" si="68"/>
        <v>0.29961500000000002</v>
      </c>
      <c r="K221" s="46">
        <f t="shared" si="68"/>
        <v>0.29961500000000002</v>
      </c>
      <c r="L221" s="46">
        <f t="shared" si="68"/>
        <v>0.29961500000000002</v>
      </c>
      <c r="M221" s="46">
        <f t="shared" si="68"/>
        <v>0.29961500000000002</v>
      </c>
      <c r="N221" s="46">
        <f t="shared" si="68"/>
        <v>0.29961500000000002</v>
      </c>
      <c r="O221" s="46">
        <f t="shared" si="68"/>
        <v>0.29961500000000002</v>
      </c>
      <c r="P221" s="46">
        <f t="shared" si="68"/>
        <v>0.29961500000000002</v>
      </c>
      <c r="Q221" s="46">
        <f t="shared" si="68"/>
        <v>0.29961500000000002</v>
      </c>
      <c r="R221" s="46">
        <f t="shared" si="68"/>
        <v>0.29961500000000002</v>
      </c>
      <c r="S221" s="46">
        <f t="shared" si="68"/>
        <v>0.29961500000000002</v>
      </c>
      <c r="T221" s="46">
        <f t="shared" si="68"/>
        <v>0.29961500000000002</v>
      </c>
      <c r="U221" s="46">
        <f t="shared" si="68"/>
        <v>0</v>
      </c>
      <c r="V221" s="46">
        <f t="shared" si="68"/>
        <v>0</v>
      </c>
      <c r="W221" s="46">
        <f t="shared" si="68"/>
        <v>0</v>
      </c>
      <c r="X221" s="46">
        <f t="shared" si="68"/>
        <v>0</v>
      </c>
      <c r="Y221" s="46">
        <f t="shared" si="68"/>
        <v>0</v>
      </c>
      <c r="Z221" s="46">
        <f t="shared" si="68"/>
        <v>0</v>
      </c>
      <c r="AA221" s="46">
        <f t="shared" si="68"/>
        <v>0</v>
      </c>
      <c r="AB221" s="46">
        <f t="shared" si="68"/>
        <v>0</v>
      </c>
      <c r="AC221" s="46">
        <f t="shared" si="68"/>
        <v>0</v>
      </c>
      <c r="AD221" s="46">
        <f t="shared" si="68"/>
        <v>0</v>
      </c>
    </row>
    <row r="222" spans="1:30" outlineLevel="1">
      <c r="A222" s="49" t="s">
        <v>153</v>
      </c>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row>
    <row r="223" spans="1:30" outlineLevel="1">
      <c r="A223" s="247" t="str">
        <f>'Expected NPV &amp; Common Data'!A49</f>
        <v xml:space="preserve">Copper deduction - minimum </v>
      </c>
      <c r="B223" s="247" t="str">
        <f>'Expected NPV &amp; Common Data'!B49</f>
        <v>% Cu (absolute)</v>
      </c>
      <c r="C223" s="247"/>
      <c r="D223" s="261">
        <f>'Expected NPV &amp; Common Data'!D49</f>
        <v>0.01</v>
      </c>
      <c r="E223" s="261">
        <f>'Expected NPV &amp; Common Data'!E49</f>
        <v>0.01</v>
      </c>
      <c r="F223" s="261">
        <f>'Expected NPV &amp; Common Data'!F49</f>
        <v>0.01</v>
      </c>
      <c r="G223" s="261">
        <f>'Expected NPV &amp; Common Data'!G49</f>
        <v>0.01</v>
      </c>
      <c r="H223" s="261">
        <f>'Expected NPV &amp; Common Data'!H49</f>
        <v>0.01</v>
      </c>
      <c r="I223" s="261">
        <f>'Expected NPV &amp; Common Data'!I49</f>
        <v>0.01</v>
      </c>
      <c r="J223" s="261">
        <f>'Expected NPV &amp; Common Data'!J49</f>
        <v>0.01</v>
      </c>
      <c r="K223" s="261">
        <f>'Expected NPV &amp; Common Data'!K49</f>
        <v>0.01</v>
      </c>
      <c r="L223" s="261">
        <f>'Expected NPV &amp; Common Data'!L49</f>
        <v>0.01</v>
      </c>
      <c r="M223" s="261">
        <f>'Expected NPV &amp; Common Data'!M49</f>
        <v>0.01</v>
      </c>
      <c r="N223" s="261">
        <f>'Expected NPV &amp; Common Data'!N49</f>
        <v>0.01</v>
      </c>
      <c r="O223" s="261">
        <f>'Expected NPV &amp; Common Data'!O49</f>
        <v>0.01</v>
      </c>
      <c r="P223" s="261">
        <f>'Expected NPV &amp; Common Data'!P49</f>
        <v>0.01</v>
      </c>
      <c r="Q223" s="261">
        <f>'Expected NPV &amp; Common Data'!Q49</f>
        <v>0.01</v>
      </c>
      <c r="R223" s="261">
        <f>'Expected NPV &amp; Common Data'!R49</f>
        <v>0.01</v>
      </c>
      <c r="S223" s="261">
        <f>'Expected NPV &amp; Common Data'!S49</f>
        <v>0.01</v>
      </c>
      <c r="T223" s="261">
        <f>'Expected NPV &amp; Common Data'!T49</f>
        <v>0.01</v>
      </c>
      <c r="U223" s="261">
        <f>'Expected NPV &amp; Common Data'!U49</f>
        <v>0.01</v>
      </c>
      <c r="V223" s="261">
        <f>'Expected NPV &amp; Common Data'!V49</f>
        <v>0.01</v>
      </c>
      <c r="W223" s="261">
        <f>'Expected NPV &amp; Common Data'!W49</f>
        <v>0.01</v>
      </c>
      <c r="X223" s="261">
        <f>'Expected NPV &amp; Common Data'!X49</f>
        <v>0.01</v>
      </c>
      <c r="Y223" s="261">
        <f>'Expected NPV &amp; Common Data'!Y49</f>
        <v>0.01</v>
      </c>
      <c r="Z223" s="261">
        <f>'Expected NPV &amp; Common Data'!Z49</f>
        <v>0.01</v>
      </c>
      <c r="AA223" s="261">
        <f>'Expected NPV &amp; Common Data'!AA49</f>
        <v>0.01</v>
      </c>
      <c r="AB223" s="261">
        <f>'Expected NPV &amp; Common Data'!AB49</f>
        <v>0.01</v>
      </c>
      <c r="AC223" s="261">
        <f>'Expected NPV &amp; Common Data'!AC49</f>
        <v>0.01</v>
      </c>
      <c r="AD223" s="261">
        <f>'Expected NPV &amp; Common Data'!AD49</f>
        <v>0.01</v>
      </c>
    </row>
    <row r="224" spans="1:30" outlineLevel="1">
      <c r="A224" s="13" t="s">
        <v>205</v>
      </c>
      <c r="C224" s="38"/>
      <c r="D224" s="46">
        <f t="shared" ref="D224:AD224" si="69">IF(D212=0,0,D212-D223)</f>
        <v>0</v>
      </c>
      <c r="E224" s="46">
        <f t="shared" si="69"/>
        <v>0</v>
      </c>
      <c r="F224" s="46">
        <f t="shared" si="69"/>
        <v>0.3</v>
      </c>
      <c r="G224" s="46">
        <f t="shared" si="69"/>
        <v>0.3</v>
      </c>
      <c r="H224" s="46">
        <f t="shared" si="69"/>
        <v>0.3</v>
      </c>
      <c r="I224" s="46">
        <f t="shared" si="69"/>
        <v>0.3</v>
      </c>
      <c r="J224" s="46">
        <f t="shared" si="69"/>
        <v>0.3</v>
      </c>
      <c r="K224" s="46">
        <f t="shared" si="69"/>
        <v>0.3</v>
      </c>
      <c r="L224" s="46">
        <f t="shared" si="69"/>
        <v>0.3</v>
      </c>
      <c r="M224" s="46">
        <f t="shared" si="69"/>
        <v>0.3</v>
      </c>
      <c r="N224" s="46">
        <f t="shared" si="69"/>
        <v>0.3</v>
      </c>
      <c r="O224" s="46">
        <f t="shared" si="69"/>
        <v>0.3</v>
      </c>
      <c r="P224" s="46">
        <f t="shared" si="69"/>
        <v>0.3</v>
      </c>
      <c r="Q224" s="46">
        <f t="shared" si="69"/>
        <v>0.3</v>
      </c>
      <c r="R224" s="46">
        <f t="shared" si="69"/>
        <v>0.3</v>
      </c>
      <c r="S224" s="46">
        <f t="shared" si="69"/>
        <v>0.3</v>
      </c>
      <c r="T224" s="46">
        <f t="shared" si="69"/>
        <v>0.3</v>
      </c>
      <c r="U224" s="46">
        <f t="shared" si="69"/>
        <v>0</v>
      </c>
      <c r="V224" s="46">
        <f t="shared" si="69"/>
        <v>0</v>
      </c>
      <c r="W224" s="46">
        <f t="shared" si="69"/>
        <v>0</v>
      </c>
      <c r="X224" s="46">
        <f t="shared" si="69"/>
        <v>0</v>
      </c>
      <c r="Y224" s="46">
        <f t="shared" si="69"/>
        <v>0</v>
      </c>
      <c r="Z224" s="46">
        <f t="shared" si="69"/>
        <v>0</v>
      </c>
      <c r="AA224" s="46">
        <f t="shared" si="69"/>
        <v>0</v>
      </c>
      <c r="AB224" s="46">
        <f t="shared" si="69"/>
        <v>0</v>
      </c>
      <c r="AC224" s="46">
        <f t="shared" si="69"/>
        <v>0</v>
      </c>
      <c r="AD224" s="46">
        <f t="shared" si="69"/>
        <v>0</v>
      </c>
    </row>
    <row r="225" spans="1:30" outlineLevel="1">
      <c r="A225" s="49" t="s">
        <v>206</v>
      </c>
      <c r="C225" s="38"/>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row>
    <row r="226" spans="1:30" outlineLevel="1">
      <c r="A226" s="13" t="s">
        <v>46</v>
      </c>
      <c r="B226" s="13" t="s">
        <v>65</v>
      </c>
      <c r="C226" s="38"/>
      <c r="D226" s="46">
        <f t="shared" ref="D226:AD226" si="70">MIN(D221,D224)</f>
        <v>0</v>
      </c>
      <c r="E226" s="46">
        <f t="shared" si="70"/>
        <v>0</v>
      </c>
      <c r="F226" s="46">
        <f t="shared" si="70"/>
        <v>0.29961500000000002</v>
      </c>
      <c r="G226" s="46">
        <f t="shared" si="70"/>
        <v>0.29961500000000002</v>
      </c>
      <c r="H226" s="46">
        <f t="shared" si="70"/>
        <v>0.29961500000000002</v>
      </c>
      <c r="I226" s="46">
        <f t="shared" si="70"/>
        <v>0.29961500000000002</v>
      </c>
      <c r="J226" s="46">
        <f t="shared" si="70"/>
        <v>0.29961500000000002</v>
      </c>
      <c r="K226" s="46">
        <f t="shared" si="70"/>
        <v>0.29961500000000002</v>
      </c>
      <c r="L226" s="46">
        <f t="shared" si="70"/>
        <v>0.29961500000000002</v>
      </c>
      <c r="M226" s="46">
        <f t="shared" si="70"/>
        <v>0.29961500000000002</v>
      </c>
      <c r="N226" s="46">
        <f t="shared" si="70"/>
        <v>0.29961500000000002</v>
      </c>
      <c r="O226" s="46">
        <f t="shared" si="70"/>
        <v>0.29961500000000002</v>
      </c>
      <c r="P226" s="46">
        <f t="shared" si="70"/>
        <v>0.29961500000000002</v>
      </c>
      <c r="Q226" s="46">
        <f t="shared" si="70"/>
        <v>0.29961500000000002</v>
      </c>
      <c r="R226" s="46">
        <f t="shared" si="70"/>
        <v>0.29961500000000002</v>
      </c>
      <c r="S226" s="46">
        <f t="shared" si="70"/>
        <v>0.29961500000000002</v>
      </c>
      <c r="T226" s="46">
        <f t="shared" si="70"/>
        <v>0.29961500000000002</v>
      </c>
      <c r="U226" s="46">
        <f t="shared" si="70"/>
        <v>0</v>
      </c>
      <c r="V226" s="46">
        <f t="shared" si="70"/>
        <v>0</v>
      </c>
      <c r="W226" s="46">
        <f t="shared" si="70"/>
        <v>0</v>
      </c>
      <c r="X226" s="46">
        <f t="shared" si="70"/>
        <v>0</v>
      </c>
      <c r="Y226" s="46">
        <f t="shared" si="70"/>
        <v>0</v>
      </c>
      <c r="Z226" s="46">
        <f t="shared" si="70"/>
        <v>0</v>
      </c>
      <c r="AA226" s="46">
        <f t="shared" si="70"/>
        <v>0</v>
      </c>
      <c r="AB226" s="46">
        <f t="shared" si="70"/>
        <v>0</v>
      </c>
      <c r="AC226" s="46">
        <f t="shared" si="70"/>
        <v>0</v>
      </c>
      <c r="AD226" s="46">
        <f t="shared" si="70"/>
        <v>0</v>
      </c>
    </row>
    <row r="227" spans="1:30" outlineLevel="1">
      <c r="A227" s="13" t="str">
        <f>A100</f>
        <v>Copper price forecast - Low Case</v>
      </c>
      <c r="B227" s="13" t="str">
        <f>B100</f>
        <v>US$/ lb real</v>
      </c>
      <c r="C227" s="56"/>
      <c r="D227" s="57">
        <f t="shared" ref="D227:AD227" si="71">D100</f>
        <v>3.5</v>
      </c>
      <c r="E227" s="57">
        <f t="shared" si="71"/>
        <v>3.5</v>
      </c>
      <c r="F227" s="57">
        <f t="shared" si="71"/>
        <v>3.5</v>
      </c>
      <c r="G227" s="57">
        <f t="shared" si="71"/>
        <v>3.5</v>
      </c>
      <c r="H227" s="57">
        <f t="shared" si="71"/>
        <v>3.5</v>
      </c>
      <c r="I227" s="57">
        <f t="shared" si="71"/>
        <v>3.5</v>
      </c>
      <c r="J227" s="57">
        <f t="shared" si="71"/>
        <v>3.5</v>
      </c>
      <c r="K227" s="57">
        <f t="shared" si="71"/>
        <v>3.5</v>
      </c>
      <c r="L227" s="57">
        <f t="shared" si="71"/>
        <v>3.5</v>
      </c>
      <c r="M227" s="57">
        <f t="shared" si="71"/>
        <v>3.5</v>
      </c>
      <c r="N227" s="57">
        <f t="shared" si="71"/>
        <v>3.5</v>
      </c>
      <c r="O227" s="57">
        <f t="shared" si="71"/>
        <v>3.5</v>
      </c>
      <c r="P227" s="57">
        <f t="shared" si="71"/>
        <v>3.5</v>
      </c>
      <c r="Q227" s="57">
        <f t="shared" si="71"/>
        <v>3.5</v>
      </c>
      <c r="R227" s="57">
        <f t="shared" si="71"/>
        <v>3.5</v>
      </c>
      <c r="S227" s="57">
        <f t="shared" si="71"/>
        <v>3.5</v>
      </c>
      <c r="T227" s="57">
        <f t="shared" si="71"/>
        <v>3.5</v>
      </c>
      <c r="U227" s="57">
        <f t="shared" si="71"/>
        <v>3.5</v>
      </c>
      <c r="V227" s="57">
        <f t="shared" si="71"/>
        <v>3.5</v>
      </c>
      <c r="W227" s="57">
        <f t="shared" si="71"/>
        <v>3.5</v>
      </c>
      <c r="X227" s="57">
        <f t="shared" si="71"/>
        <v>3.5</v>
      </c>
      <c r="Y227" s="57">
        <f t="shared" si="71"/>
        <v>3.5</v>
      </c>
      <c r="Z227" s="57">
        <f t="shared" si="71"/>
        <v>3.5</v>
      </c>
      <c r="AA227" s="57">
        <f t="shared" si="71"/>
        <v>3.5</v>
      </c>
      <c r="AB227" s="57">
        <f t="shared" si="71"/>
        <v>3.5</v>
      </c>
      <c r="AC227" s="57">
        <f t="shared" si="71"/>
        <v>3.5</v>
      </c>
      <c r="AD227" s="57">
        <f t="shared" si="71"/>
        <v>3.5</v>
      </c>
    </row>
    <row r="228" spans="1:30" s="14" customFormat="1" outlineLevel="1">
      <c r="A228" s="14" t="s">
        <v>48</v>
      </c>
      <c r="B228" s="13" t="s">
        <v>207</v>
      </c>
      <c r="C228" s="92"/>
      <c r="D228" s="55">
        <f t="shared" ref="D228:AD228" si="72">D226*D227*2204.6</f>
        <v>0</v>
      </c>
      <c r="E228" s="55">
        <f t="shared" si="72"/>
        <v>0</v>
      </c>
      <c r="F228" s="55">
        <f t="shared" si="72"/>
        <v>2311.8593014999997</v>
      </c>
      <c r="G228" s="55">
        <f t="shared" si="72"/>
        <v>2311.8593014999997</v>
      </c>
      <c r="H228" s="55">
        <f t="shared" si="72"/>
        <v>2311.8593014999997</v>
      </c>
      <c r="I228" s="55">
        <f t="shared" si="72"/>
        <v>2311.8593014999997</v>
      </c>
      <c r="J228" s="55">
        <f t="shared" si="72"/>
        <v>2311.8593014999997</v>
      </c>
      <c r="K228" s="55">
        <f t="shared" si="72"/>
        <v>2311.8593014999997</v>
      </c>
      <c r="L228" s="55">
        <f t="shared" si="72"/>
        <v>2311.8593014999997</v>
      </c>
      <c r="M228" s="55">
        <f t="shared" si="72"/>
        <v>2311.8593014999997</v>
      </c>
      <c r="N228" s="55">
        <f t="shared" si="72"/>
        <v>2311.8593014999997</v>
      </c>
      <c r="O228" s="55">
        <f t="shared" si="72"/>
        <v>2311.8593014999997</v>
      </c>
      <c r="P228" s="55">
        <f t="shared" si="72"/>
        <v>2311.8593014999997</v>
      </c>
      <c r="Q228" s="55">
        <f t="shared" si="72"/>
        <v>2311.8593014999997</v>
      </c>
      <c r="R228" s="55">
        <f t="shared" si="72"/>
        <v>2311.8593014999997</v>
      </c>
      <c r="S228" s="55">
        <f t="shared" si="72"/>
        <v>2311.8593014999997</v>
      </c>
      <c r="T228" s="55">
        <f t="shared" si="72"/>
        <v>2311.8593014999997</v>
      </c>
      <c r="U228" s="55">
        <f t="shared" si="72"/>
        <v>0</v>
      </c>
      <c r="V228" s="55">
        <f t="shared" si="72"/>
        <v>0</v>
      </c>
      <c r="W228" s="55">
        <f t="shared" si="72"/>
        <v>0</v>
      </c>
      <c r="X228" s="55">
        <f t="shared" si="72"/>
        <v>0</v>
      </c>
      <c r="Y228" s="55">
        <f t="shared" si="72"/>
        <v>0</v>
      </c>
      <c r="Z228" s="55">
        <f t="shared" si="72"/>
        <v>0</v>
      </c>
      <c r="AA228" s="55">
        <f t="shared" si="72"/>
        <v>0</v>
      </c>
      <c r="AB228" s="55">
        <f t="shared" si="72"/>
        <v>0</v>
      </c>
      <c r="AC228" s="55">
        <f t="shared" si="72"/>
        <v>0</v>
      </c>
      <c r="AD228" s="55">
        <f t="shared" si="72"/>
        <v>0</v>
      </c>
    </row>
    <row r="229" spans="1:30" s="134" customFormat="1" outlineLevel="1">
      <c r="A229" s="135"/>
      <c r="C229" s="136"/>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c r="AC229" s="64"/>
      <c r="AD229" s="64"/>
    </row>
    <row r="230" spans="1:30" outlineLevel="1">
      <c r="A230" s="50" t="s">
        <v>262</v>
      </c>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c r="AA230" s="42"/>
      <c r="AB230" s="42"/>
      <c r="AC230" s="42"/>
      <c r="AD230" s="42"/>
    </row>
    <row r="231" spans="1:30" outlineLevel="1">
      <c r="A231" s="13" t="str">
        <f>A167</f>
        <v>copper concentrate grade - gold</v>
      </c>
      <c r="B231" s="13" t="str">
        <f>B167</f>
        <v>g/t Au</v>
      </c>
      <c r="C231" s="56"/>
      <c r="D231" s="56">
        <f t="shared" ref="D231:AD231" si="73">D167</f>
        <v>0</v>
      </c>
      <c r="E231" s="56">
        <f t="shared" si="73"/>
        <v>0</v>
      </c>
      <c r="F231" s="56">
        <f t="shared" si="73"/>
        <v>5.4350649350649345</v>
      </c>
      <c r="G231" s="56">
        <f t="shared" si="73"/>
        <v>5.4350649350649354</v>
      </c>
      <c r="H231" s="56">
        <f t="shared" si="73"/>
        <v>5.4350649350649354</v>
      </c>
      <c r="I231" s="56">
        <f t="shared" si="73"/>
        <v>5.4350649350649354</v>
      </c>
      <c r="J231" s="56">
        <f t="shared" si="73"/>
        <v>5.4350649350649345</v>
      </c>
      <c r="K231" s="56">
        <f t="shared" si="73"/>
        <v>5.3916712030484479</v>
      </c>
      <c r="L231" s="56">
        <f t="shared" si="73"/>
        <v>5.3688845401174188</v>
      </c>
      <c r="M231" s="56">
        <f t="shared" si="73"/>
        <v>5.3688845401174188</v>
      </c>
      <c r="N231" s="56">
        <f t="shared" si="73"/>
        <v>5.3688845401174188</v>
      </c>
      <c r="O231" s="56">
        <f t="shared" si="73"/>
        <v>5.3688845401174188</v>
      </c>
      <c r="P231" s="56">
        <f t="shared" si="73"/>
        <v>5.3748969960296646</v>
      </c>
      <c r="Q231" s="56">
        <f t="shared" si="73"/>
        <v>5.3142857142857141</v>
      </c>
      <c r="R231" s="56">
        <f t="shared" si="73"/>
        <v>5.3142857142857141</v>
      </c>
      <c r="S231" s="56">
        <f t="shared" si="73"/>
        <v>5.3142857142857141</v>
      </c>
      <c r="T231" s="56">
        <f t="shared" si="73"/>
        <v>5.3142857142857141</v>
      </c>
      <c r="U231" s="56">
        <f t="shared" si="73"/>
        <v>0</v>
      </c>
      <c r="V231" s="56">
        <f t="shared" si="73"/>
        <v>0</v>
      </c>
      <c r="W231" s="56">
        <f t="shared" si="73"/>
        <v>0</v>
      </c>
      <c r="X231" s="56">
        <f t="shared" si="73"/>
        <v>0</v>
      </c>
      <c r="Y231" s="56">
        <f t="shared" si="73"/>
        <v>0</v>
      </c>
      <c r="Z231" s="56">
        <f t="shared" si="73"/>
        <v>0</v>
      </c>
      <c r="AA231" s="56">
        <f t="shared" si="73"/>
        <v>0</v>
      </c>
      <c r="AB231" s="56">
        <f t="shared" si="73"/>
        <v>0</v>
      </c>
      <c r="AC231" s="56">
        <f t="shared" si="73"/>
        <v>0</v>
      </c>
      <c r="AD231" s="56">
        <f t="shared" si="73"/>
        <v>0</v>
      </c>
    </row>
    <row r="232" spans="1:30" s="134" customFormat="1" outlineLevel="1">
      <c r="A232" s="63" t="str">
        <f>'Expected NPV &amp; Common Data'!A52</f>
        <v>25 Nov 2025 S Mullah email: gold content less than or equal to 1 gram/dmt, no payment applies.  For gold content above 1 g/dmt up to 3g/dmt buyer pays for 90% of the agreed gold content.  Sliding scale for gold content above 3 g/dmt.</v>
      </c>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c r="AB232" s="64"/>
      <c r="AC232" s="64"/>
      <c r="AD232" s="64"/>
    </row>
    <row r="233" spans="1:30" outlineLevel="1">
      <c r="A233" s="247" t="str">
        <f>'Expected NPV &amp; Common Data'!A53</f>
        <v>gold deduction</v>
      </c>
      <c r="B233" s="247" t="str">
        <f>'Expected NPV &amp; Common Data'!B53</f>
        <v>% of Au total content</v>
      </c>
      <c r="C233" s="247"/>
      <c r="D233" s="262">
        <f>'Expected NPV &amp; Common Data'!D53</f>
        <v>1</v>
      </c>
      <c r="E233" s="262">
        <f>'Expected NPV &amp; Common Data'!E53</f>
        <v>1</v>
      </c>
      <c r="F233" s="262">
        <f>'Expected NPV &amp; Common Data'!F53</f>
        <v>1</v>
      </c>
      <c r="G233" s="262">
        <f>'Expected NPV &amp; Common Data'!G53</f>
        <v>1</v>
      </c>
      <c r="H233" s="262">
        <f>'Expected NPV &amp; Common Data'!H53</f>
        <v>1</v>
      </c>
      <c r="I233" s="262">
        <f>'Expected NPV &amp; Common Data'!I53</f>
        <v>1</v>
      </c>
      <c r="J233" s="262">
        <f>'Expected NPV &amp; Common Data'!J53</f>
        <v>1</v>
      </c>
      <c r="K233" s="262">
        <f>'Expected NPV &amp; Common Data'!K53</f>
        <v>1</v>
      </c>
      <c r="L233" s="262">
        <f>'Expected NPV &amp; Common Data'!L53</f>
        <v>1</v>
      </c>
      <c r="M233" s="262">
        <f>'Expected NPV &amp; Common Data'!M53</f>
        <v>1</v>
      </c>
      <c r="N233" s="262">
        <f>'Expected NPV &amp; Common Data'!N53</f>
        <v>1</v>
      </c>
      <c r="O233" s="262">
        <f>'Expected NPV &amp; Common Data'!O53</f>
        <v>1</v>
      </c>
      <c r="P233" s="262">
        <f>'Expected NPV &amp; Common Data'!P53</f>
        <v>1</v>
      </c>
      <c r="Q233" s="262">
        <f>'Expected NPV &amp; Common Data'!Q53</f>
        <v>1</v>
      </c>
      <c r="R233" s="262">
        <f>'Expected NPV &amp; Common Data'!R53</f>
        <v>1</v>
      </c>
      <c r="S233" s="262">
        <f>'Expected NPV &amp; Common Data'!S53</f>
        <v>1</v>
      </c>
      <c r="T233" s="262">
        <f>'Expected NPV &amp; Common Data'!T53</f>
        <v>1</v>
      </c>
      <c r="U233" s="262">
        <f>'Expected NPV &amp; Common Data'!U53</f>
        <v>1</v>
      </c>
      <c r="V233" s="262">
        <f>'Expected NPV &amp; Common Data'!V53</f>
        <v>1</v>
      </c>
      <c r="W233" s="262">
        <f>'Expected NPV &amp; Common Data'!W53</f>
        <v>1</v>
      </c>
      <c r="X233" s="262">
        <f>'Expected NPV &amp; Common Data'!X53</f>
        <v>1</v>
      </c>
      <c r="Y233" s="262">
        <f>'Expected NPV &amp; Common Data'!Y53</f>
        <v>1</v>
      </c>
      <c r="Z233" s="262">
        <f>'Expected NPV &amp; Common Data'!Z53</f>
        <v>1</v>
      </c>
      <c r="AA233" s="262">
        <f>'Expected NPV &amp; Common Data'!AA53</f>
        <v>1</v>
      </c>
      <c r="AB233" s="262">
        <f>'Expected NPV &amp; Common Data'!AB53</f>
        <v>1</v>
      </c>
      <c r="AC233" s="262">
        <f>'Expected NPV &amp; Common Data'!AC53</f>
        <v>1</v>
      </c>
      <c r="AD233" s="262">
        <f>'Expected NPV &amp; Common Data'!AD53</f>
        <v>1</v>
      </c>
    </row>
    <row r="234" spans="1:30" outlineLevel="1">
      <c r="A234" s="247" t="str">
        <f>'Expected NPV &amp; Common Data'!A54</f>
        <v>Copper concentrate &lt;XX g/t Au</v>
      </c>
      <c r="B234" s="247" t="str">
        <f>'Expected NPV &amp; Common Data'!B54</f>
        <v>g/t Au</v>
      </c>
      <c r="C234" s="247"/>
      <c r="D234" s="248">
        <f>'Expected NPV &amp; Common Data'!D54</f>
        <v>1</v>
      </c>
      <c r="E234" s="248">
        <f>'Expected NPV &amp; Common Data'!E54</f>
        <v>1</v>
      </c>
      <c r="F234" s="248">
        <f>'Expected NPV &amp; Common Data'!F54</f>
        <v>1</v>
      </c>
      <c r="G234" s="248">
        <f>'Expected NPV &amp; Common Data'!G54</f>
        <v>1</v>
      </c>
      <c r="H234" s="248">
        <f>'Expected NPV &amp; Common Data'!H54</f>
        <v>1</v>
      </c>
      <c r="I234" s="248">
        <f>'Expected NPV &amp; Common Data'!I54</f>
        <v>1</v>
      </c>
      <c r="J234" s="248">
        <f>'Expected NPV &amp; Common Data'!J54</f>
        <v>1</v>
      </c>
      <c r="K234" s="248">
        <f>'Expected NPV &amp; Common Data'!K54</f>
        <v>1</v>
      </c>
      <c r="L234" s="248">
        <f>'Expected NPV &amp; Common Data'!L54</f>
        <v>1</v>
      </c>
      <c r="M234" s="248">
        <f>'Expected NPV &amp; Common Data'!M54</f>
        <v>1</v>
      </c>
      <c r="N234" s="248">
        <f>'Expected NPV &amp; Common Data'!N54</f>
        <v>1</v>
      </c>
      <c r="O234" s="248">
        <f>'Expected NPV &amp; Common Data'!O54</f>
        <v>1</v>
      </c>
      <c r="P234" s="248">
        <f>'Expected NPV &amp; Common Data'!P54</f>
        <v>1</v>
      </c>
      <c r="Q234" s="248">
        <f>'Expected NPV &amp; Common Data'!Q54</f>
        <v>1</v>
      </c>
      <c r="R234" s="248">
        <f>'Expected NPV &amp; Common Data'!R54</f>
        <v>1</v>
      </c>
      <c r="S234" s="248">
        <f>'Expected NPV &amp; Common Data'!S54</f>
        <v>1</v>
      </c>
      <c r="T234" s="248">
        <f>'Expected NPV &amp; Common Data'!T54</f>
        <v>1</v>
      </c>
      <c r="U234" s="248">
        <f>'Expected NPV &amp; Common Data'!U54</f>
        <v>1</v>
      </c>
      <c r="V234" s="248">
        <f>'Expected NPV &amp; Common Data'!V54</f>
        <v>1</v>
      </c>
      <c r="W234" s="248">
        <f>'Expected NPV &amp; Common Data'!W54</f>
        <v>1</v>
      </c>
      <c r="X234" s="248">
        <f>'Expected NPV &amp; Common Data'!X54</f>
        <v>1</v>
      </c>
      <c r="Y234" s="248">
        <f>'Expected NPV &amp; Common Data'!Y54</f>
        <v>1</v>
      </c>
      <c r="Z234" s="248">
        <f>'Expected NPV &amp; Common Data'!Z54</f>
        <v>1</v>
      </c>
      <c r="AA234" s="248">
        <f>'Expected NPV &amp; Common Data'!AA54</f>
        <v>1</v>
      </c>
      <c r="AB234" s="248">
        <f>'Expected NPV &amp; Common Data'!AB54</f>
        <v>1</v>
      </c>
      <c r="AC234" s="248">
        <f>'Expected NPV &amp; Common Data'!AC54</f>
        <v>1</v>
      </c>
      <c r="AD234" s="248">
        <f>'Expected NPV &amp; Common Data'!AD54</f>
        <v>1</v>
      </c>
    </row>
    <row r="235" spans="1:30" outlineLevel="1">
      <c r="A235" s="247" t="str">
        <f>'Expected NPV &amp; Common Data'!A55</f>
        <v>gold deduction</v>
      </c>
      <c r="B235" s="247" t="str">
        <f>'Expected NPV &amp; Common Data'!B55</f>
        <v>% of Au total content</v>
      </c>
      <c r="C235" s="247"/>
      <c r="D235" s="262">
        <f>'Expected NPV &amp; Common Data'!D55</f>
        <v>0.1</v>
      </c>
      <c r="E235" s="262">
        <f>'Expected NPV &amp; Common Data'!E55</f>
        <v>0.1</v>
      </c>
      <c r="F235" s="262">
        <f>'Expected NPV &amp; Common Data'!F55</f>
        <v>0.1</v>
      </c>
      <c r="G235" s="262">
        <f>'Expected NPV &amp; Common Data'!G55</f>
        <v>0.1</v>
      </c>
      <c r="H235" s="262">
        <f>'Expected NPV &amp; Common Data'!H55</f>
        <v>0.1</v>
      </c>
      <c r="I235" s="262">
        <f>'Expected NPV &amp; Common Data'!I55</f>
        <v>0.1</v>
      </c>
      <c r="J235" s="262">
        <f>'Expected NPV &amp; Common Data'!J55</f>
        <v>0.1</v>
      </c>
      <c r="K235" s="262">
        <f>'Expected NPV &amp; Common Data'!K55</f>
        <v>0.1</v>
      </c>
      <c r="L235" s="262">
        <f>'Expected NPV &amp; Common Data'!L55</f>
        <v>0.1</v>
      </c>
      <c r="M235" s="262">
        <f>'Expected NPV &amp; Common Data'!M55</f>
        <v>0.1</v>
      </c>
      <c r="N235" s="262">
        <f>'Expected NPV &amp; Common Data'!N55</f>
        <v>0.1</v>
      </c>
      <c r="O235" s="262">
        <f>'Expected NPV &amp; Common Data'!O55</f>
        <v>0.1</v>
      </c>
      <c r="P235" s="262">
        <f>'Expected NPV &amp; Common Data'!P55</f>
        <v>0.1</v>
      </c>
      <c r="Q235" s="262">
        <f>'Expected NPV &amp; Common Data'!Q55</f>
        <v>0.1</v>
      </c>
      <c r="R235" s="262">
        <f>'Expected NPV &amp; Common Data'!R55</f>
        <v>0.1</v>
      </c>
      <c r="S235" s="262">
        <f>'Expected NPV &amp; Common Data'!S55</f>
        <v>0.1</v>
      </c>
      <c r="T235" s="262">
        <f>'Expected NPV &amp; Common Data'!T55</f>
        <v>0.1</v>
      </c>
      <c r="U235" s="262">
        <f>'Expected NPV &amp; Common Data'!U55</f>
        <v>0.1</v>
      </c>
      <c r="V235" s="262">
        <f>'Expected NPV &amp; Common Data'!V55</f>
        <v>0.1</v>
      </c>
      <c r="W235" s="262">
        <f>'Expected NPV &amp; Common Data'!W55</f>
        <v>0.1</v>
      </c>
      <c r="X235" s="262">
        <f>'Expected NPV &amp; Common Data'!X55</f>
        <v>0.1</v>
      </c>
      <c r="Y235" s="262">
        <f>'Expected NPV &amp; Common Data'!Y55</f>
        <v>0.1</v>
      </c>
      <c r="Z235" s="262">
        <f>'Expected NPV &amp; Common Data'!Z55</f>
        <v>0.1</v>
      </c>
      <c r="AA235" s="262">
        <f>'Expected NPV &amp; Common Data'!AA55</f>
        <v>0.1</v>
      </c>
      <c r="AB235" s="262">
        <f>'Expected NPV &amp; Common Data'!AB55</f>
        <v>0.1</v>
      </c>
      <c r="AC235" s="262">
        <f>'Expected NPV &amp; Common Data'!AC55</f>
        <v>0.1</v>
      </c>
      <c r="AD235" s="262">
        <f>'Expected NPV &amp; Common Data'!AD55</f>
        <v>0.1</v>
      </c>
    </row>
    <row r="236" spans="1:30" outlineLevel="1">
      <c r="A236" s="247" t="str">
        <f>'Expected NPV &amp; Common Data'!A56</f>
        <v>Copper concentrate &lt;XX g/t Au</v>
      </c>
      <c r="B236" s="247" t="str">
        <f>'Expected NPV &amp; Common Data'!B56</f>
        <v>g/t Au</v>
      </c>
      <c r="C236" s="247"/>
      <c r="D236" s="248">
        <f>'Expected NPV &amp; Common Data'!D56</f>
        <v>3</v>
      </c>
      <c r="E236" s="248">
        <f>'Expected NPV &amp; Common Data'!E56</f>
        <v>3</v>
      </c>
      <c r="F236" s="248">
        <f>'Expected NPV &amp; Common Data'!F56</f>
        <v>3</v>
      </c>
      <c r="G236" s="248">
        <f>'Expected NPV &amp; Common Data'!G56</f>
        <v>3</v>
      </c>
      <c r="H236" s="248">
        <f>'Expected NPV &amp; Common Data'!H56</f>
        <v>3</v>
      </c>
      <c r="I236" s="248">
        <f>'Expected NPV &amp; Common Data'!I56</f>
        <v>3</v>
      </c>
      <c r="J236" s="248">
        <f>'Expected NPV &amp; Common Data'!J56</f>
        <v>3</v>
      </c>
      <c r="K236" s="248">
        <f>'Expected NPV &amp; Common Data'!K56</f>
        <v>3</v>
      </c>
      <c r="L236" s="248">
        <f>'Expected NPV &amp; Common Data'!L56</f>
        <v>3</v>
      </c>
      <c r="M236" s="248">
        <f>'Expected NPV &amp; Common Data'!M56</f>
        <v>3</v>
      </c>
      <c r="N236" s="248">
        <f>'Expected NPV &amp; Common Data'!N56</f>
        <v>3</v>
      </c>
      <c r="O236" s="248">
        <f>'Expected NPV &amp; Common Data'!O56</f>
        <v>3</v>
      </c>
      <c r="P236" s="248">
        <f>'Expected NPV &amp; Common Data'!P56</f>
        <v>3</v>
      </c>
      <c r="Q236" s="248">
        <f>'Expected NPV &amp; Common Data'!Q56</f>
        <v>3</v>
      </c>
      <c r="R236" s="248">
        <f>'Expected NPV &amp; Common Data'!R56</f>
        <v>3</v>
      </c>
      <c r="S236" s="248">
        <f>'Expected NPV &amp; Common Data'!S56</f>
        <v>3</v>
      </c>
      <c r="T236" s="248">
        <f>'Expected NPV &amp; Common Data'!T56</f>
        <v>3</v>
      </c>
      <c r="U236" s="248">
        <f>'Expected NPV &amp; Common Data'!U56</f>
        <v>3</v>
      </c>
      <c r="V236" s="248">
        <f>'Expected NPV &amp; Common Data'!V56</f>
        <v>3</v>
      </c>
      <c r="W236" s="248">
        <f>'Expected NPV &amp; Common Data'!W56</f>
        <v>3</v>
      </c>
      <c r="X236" s="248">
        <f>'Expected NPV &amp; Common Data'!X56</f>
        <v>3</v>
      </c>
      <c r="Y236" s="248">
        <f>'Expected NPV &amp; Common Data'!Y56</f>
        <v>3</v>
      </c>
      <c r="Z236" s="248">
        <f>'Expected NPV &amp; Common Data'!Z56</f>
        <v>3</v>
      </c>
      <c r="AA236" s="248">
        <f>'Expected NPV &amp; Common Data'!AA56</f>
        <v>3</v>
      </c>
      <c r="AB236" s="248">
        <f>'Expected NPV &amp; Common Data'!AB56</f>
        <v>3</v>
      </c>
      <c r="AC236" s="248">
        <f>'Expected NPV &amp; Common Data'!AC56</f>
        <v>3</v>
      </c>
      <c r="AD236" s="248">
        <f>'Expected NPV &amp; Common Data'!AD56</f>
        <v>3</v>
      </c>
    </row>
    <row r="237" spans="1:30" outlineLevel="1">
      <c r="A237" s="247" t="str">
        <f>'Expected NPV &amp; Common Data'!A57</f>
        <v>gold deduction</v>
      </c>
      <c r="B237" s="247" t="str">
        <f>'Expected NPV &amp; Common Data'!B57</f>
        <v>% of Au total content</v>
      </c>
      <c r="C237" s="247"/>
      <c r="D237" s="262">
        <f>'Expected NPV &amp; Common Data'!D57</f>
        <v>0.08</v>
      </c>
      <c r="E237" s="262">
        <f>'Expected NPV &amp; Common Data'!E57</f>
        <v>0.08</v>
      </c>
      <c r="F237" s="262">
        <f>'Expected NPV &amp; Common Data'!F57</f>
        <v>0.08</v>
      </c>
      <c r="G237" s="262">
        <f>'Expected NPV &amp; Common Data'!G57</f>
        <v>0.08</v>
      </c>
      <c r="H237" s="262">
        <f>'Expected NPV &amp; Common Data'!H57</f>
        <v>0.08</v>
      </c>
      <c r="I237" s="262">
        <f>'Expected NPV &amp; Common Data'!I57</f>
        <v>0.08</v>
      </c>
      <c r="J237" s="262">
        <f>'Expected NPV &amp; Common Data'!J57</f>
        <v>0.08</v>
      </c>
      <c r="K237" s="262">
        <f>'Expected NPV &amp; Common Data'!K57</f>
        <v>0.08</v>
      </c>
      <c r="L237" s="262">
        <f>'Expected NPV &amp; Common Data'!L57</f>
        <v>0.08</v>
      </c>
      <c r="M237" s="262">
        <f>'Expected NPV &amp; Common Data'!M57</f>
        <v>0.08</v>
      </c>
      <c r="N237" s="262">
        <f>'Expected NPV &amp; Common Data'!N57</f>
        <v>0.08</v>
      </c>
      <c r="O237" s="262">
        <f>'Expected NPV &amp; Common Data'!O57</f>
        <v>0.08</v>
      </c>
      <c r="P237" s="262">
        <f>'Expected NPV &amp; Common Data'!P57</f>
        <v>0.08</v>
      </c>
      <c r="Q237" s="262">
        <f>'Expected NPV &amp; Common Data'!Q57</f>
        <v>0.08</v>
      </c>
      <c r="R237" s="262">
        <f>'Expected NPV &amp; Common Data'!R57</f>
        <v>0.08</v>
      </c>
      <c r="S237" s="262">
        <f>'Expected NPV &amp; Common Data'!S57</f>
        <v>0.08</v>
      </c>
      <c r="T237" s="262">
        <f>'Expected NPV &amp; Common Data'!T57</f>
        <v>0.08</v>
      </c>
      <c r="U237" s="262">
        <f>'Expected NPV &amp; Common Data'!U57</f>
        <v>0.08</v>
      </c>
      <c r="V237" s="262">
        <f>'Expected NPV &amp; Common Data'!V57</f>
        <v>0.08</v>
      </c>
      <c r="W237" s="262">
        <f>'Expected NPV &amp; Common Data'!W57</f>
        <v>0.08</v>
      </c>
      <c r="X237" s="262">
        <f>'Expected NPV &amp; Common Data'!X57</f>
        <v>0.08</v>
      </c>
      <c r="Y237" s="262">
        <f>'Expected NPV &amp; Common Data'!Y57</f>
        <v>0.08</v>
      </c>
      <c r="Z237" s="262">
        <f>'Expected NPV &amp; Common Data'!Z57</f>
        <v>0.08</v>
      </c>
      <c r="AA237" s="262">
        <f>'Expected NPV &amp; Common Data'!AA57</f>
        <v>0.08</v>
      </c>
      <c r="AB237" s="262">
        <f>'Expected NPV &amp; Common Data'!AB57</f>
        <v>0.08</v>
      </c>
      <c r="AC237" s="262">
        <f>'Expected NPV &amp; Common Data'!AC57</f>
        <v>0.08</v>
      </c>
      <c r="AD237" s="262">
        <f>'Expected NPV &amp; Common Data'!AD57</f>
        <v>0.08</v>
      </c>
    </row>
    <row r="238" spans="1:30" outlineLevel="1">
      <c r="A238" s="247" t="str">
        <f>'Expected NPV &amp; Common Data'!A58</f>
        <v>Copper concentrate &lt;XX g/t Au</v>
      </c>
      <c r="B238" s="247" t="str">
        <f>'Expected NPV &amp; Common Data'!B58</f>
        <v>g/t Au</v>
      </c>
      <c r="C238" s="247"/>
      <c r="D238" s="248">
        <f>'Expected NPV &amp; Common Data'!D58</f>
        <v>5</v>
      </c>
      <c r="E238" s="248">
        <f>'Expected NPV &amp; Common Data'!E58</f>
        <v>5</v>
      </c>
      <c r="F238" s="248">
        <f>'Expected NPV &amp; Common Data'!F58</f>
        <v>5</v>
      </c>
      <c r="G238" s="248">
        <f>'Expected NPV &amp; Common Data'!G58</f>
        <v>5</v>
      </c>
      <c r="H238" s="248">
        <f>'Expected NPV &amp; Common Data'!H58</f>
        <v>5</v>
      </c>
      <c r="I238" s="248">
        <f>'Expected NPV &amp; Common Data'!I58</f>
        <v>5</v>
      </c>
      <c r="J238" s="248">
        <f>'Expected NPV &amp; Common Data'!J58</f>
        <v>5</v>
      </c>
      <c r="K238" s="248">
        <f>'Expected NPV &amp; Common Data'!K58</f>
        <v>5</v>
      </c>
      <c r="L238" s="248">
        <f>'Expected NPV &amp; Common Data'!L58</f>
        <v>5</v>
      </c>
      <c r="M238" s="248">
        <f>'Expected NPV &amp; Common Data'!M58</f>
        <v>5</v>
      </c>
      <c r="N238" s="248">
        <f>'Expected NPV &amp; Common Data'!N58</f>
        <v>5</v>
      </c>
      <c r="O238" s="248">
        <f>'Expected NPV &amp; Common Data'!O58</f>
        <v>5</v>
      </c>
      <c r="P238" s="248">
        <f>'Expected NPV &amp; Common Data'!P58</f>
        <v>5</v>
      </c>
      <c r="Q238" s="248">
        <f>'Expected NPV &amp; Common Data'!Q58</f>
        <v>5</v>
      </c>
      <c r="R238" s="248">
        <f>'Expected NPV &amp; Common Data'!R58</f>
        <v>5</v>
      </c>
      <c r="S238" s="248">
        <f>'Expected NPV &amp; Common Data'!S58</f>
        <v>5</v>
      </c>
      <c r="T238" s="248">
        <f>'Expected NPV &amp; Common Data'!T58</f>
        <v>5</v>
      </c>
      <c r="U238" s="248">
        <f>'Expected NPV &amp; Common Data'!U58</f>
        <v>5</v>
      </c>
      <c r="V238" s="248">
        <f>'Expected NPV &amp; Common Data'!V58</f>
        <v>5</v>
      </c>
      <c r="W238" s="248">
        <f>'Expected NPV &amp; Common Data'!W58</f>
        <v>5</v>
      </c>
      <c r="X238" s="248">
        <f>'Expected NPV &amp; Common Data'!X58</f>
        <v>5</v>
      </c>
      <c r="Y238" s="248">
        <f>'Expected NPV &amp; Common Data'!Y58</f>
        <v>5</v>
      </c>
      <c r="Z238" s="248">
        <f>'Expected NPV &amp; Common Data'!Z58</f>
        <v>5</v>
      </c>
      <c r="AA238" s="248">
        <f>'Expected NPV &amp; Common Data'!AA58</f>
        <v>5</v>
      </c>
      <c r="AB238" s="248">
        <f>'Expected NPV &amp; Common Data'!AB58</f>
        <v>5</v>
      </c>
      <c r="AC238" s="248">
        <f>'Expected NPV &amp; Common Data'!AC58</f>
        <v>5</v>
      </c>
      <c r="AD238" s="248">
        <f>'Expected NPV &amp; Common Data'!AD58</f>
        <v>5</v>
      </c>
    </row>
    <row r="239" spans="1:30" outlineLevel="1">
      <c r="A239" s="247" t="str">
        <f>'Expected NPV &amp; Common Data'!A59</f>
        <v>gold deduction</v>
      </c>
      <c r="B239" s="247" t="str">
        <f>'Expected NPV &amp; Common Data'!B59</f>
        <v>% of Au total content</v>
      </c>
      <c r="C239" s="247"/>
      <c r="D239" s="262">
        <f>'Expected NPV &amp; Common Data'!D59</f>
        <v>0.05</v>
      </c>
      <c r="E239" s="262">
        <f>'Expected NPV &amp; Common Data'!E59</f>
        <v>0.05</v>
      </c>
      <c r="F239" s="262">
        <f>'Expected NPV &amp; Common Data'!F59</f>
        <v>0.05</v>
      </c>
      <c r="G239" s="262">
        <f>'Expected NPV &amp; Common Data'!G59</f>
        <v>0.05</v>
      </c>
      <c r="H239" s="262">
        <f>'Expected NPV &amp; Common Data'!H59</f>
        <v>0.05</v>
      </c>
      <c r="I239" s="262">
        <f>'Expected NPV &amp; Common Data'!I59</f>
        <v>0.05</v>
      </c>
      <c r="J239" s="262">
        <f>'Expected NPV &amp; Common Data'!J59</f>
        <v>0.05</v>
      </c>
      <c r="K239" s="262">
        <f>'Expected NPV &amp; Common Data'!K59</f>
        <v>0.05</v>
      </c>
      <c r="L239" s="262">
        <f>'Expected NPV &amp; Common Data'!L59</f>
        <v>0.05</v>
      </c>
      <c r="M239" s="262">
        <f>'Expected NPV &amp; Common Data'!M59</f>
        <v>0.05</v>
      </c>
      <c r="N239" s="262">
        <f>'Expected NPV &amp; Common Data'!N59</f>
        <v>0.05</v>
      </c>
      <c r="O239" s="262">
        <f>'Expected NPV &amp; Common Data'!O59</f>
        <v>0.05</v>
      </c>
      <c r="P239" s="262">
        <f>'Expected NPV &amp; Common Data'!P59</f>
        <v>0.05</v>
      </c>
      <c r="Q239" s="262">
        <f>'Expected NPV &amp; Common Data'!Q59</f>
        <v>0.05</v>
      </c>
      <c r="R239" s="262">
        <f>'Expected NPV &amp; Common Data'!R59</f>
        <v>0.05</v>
      </c>
      <c r="S239" s="262">
        <f>'Expected NPV &amp; Common Data'!S59</f>
        <v>0.05</v>
      </c>
      <c r="T239" s="262">
        <f>'Expected NPV &amp; Common Data'!T59</f>
        <v>0.05</v>
      </c>
      <c r="U239" s="262">
        <f>'Expected NPV &amp; Common Data'!U59</f>
        <v>0.05</v>
      </c>
      <c r="V239" s="262">
        <f>'Expected NPV &amp; Common Data'!V59</f>
        <v>0.05</v>
      </c>
      <c r="W239" s="262">
        <f>'Expected NPV &amp; Common Data'!W59</f>
        <v>0.05</v>
      </c>
      <c r="X239" s="262">
        <f>'Expected NPV &amp; Common Data'!X59</f>
        <v>0.05</v>
      </c>
      <c r="Y239" s="262">
        <f>'Expected NPV &amp; Common Data'!Y59</f>
        <v>0.05</v>
      </c>
      <c r="Z239" s="262">
        <f>'Expected NPV &amp; Common Data'!Z59</f>
        <v>0.05</v>
      </c>
      <c r="AA239" s="262">
        <f>'Expected NPV &amp; Common Data'!AA59</f>
        <v>0.05</v>
      </c>
      <c r="AB239" s="262">
        <f>'Expected NPV &amp; Common Data'!AB59</f>
        <v>0.05</v>
      </c>
      <c r="AC239" s="262">
        <f>'Expected NPV &amp; Common Data'!AC59</f>
        <v>0.05</v>
      </c>
      <c r="AD239" s="262">
        <f>'Expected NPV &amp; Common Data'!AD59</f>
        <v>0.05</v>
      </c>
    </row>
    <row r="240" spans="1:30" outlineLevel="1">
      <c r="A240" s="247" t="str">
        <f>'Expected NPV &amp; Common Data'!A60</f>
        <v>Copper concentrate &lt;XX g/t Au</v>
      </c>
      <c r="B240" s="247" t="str">
        <f>'Expected NPV &amp; Common Data'!B60</f>
        <v>g/t Au</v>
      </c>
      <c r="C240" s="247"/>
      <c r="D240" s="248">
        <f>'Expected NPV &amp; Common Data'!D60</f>
        <v>10</v>
      </c>
      <c r="E240" s="248">
        <f>'Expected NPV &amp; Common Data'!E60</f>
        <v>10</v>
      </c>
      <c r="F240" s="248">
        <f>'Expected NPV &amp; Common Data'!F60</f>
        <v>10</v>
      </c>
      <c r="G240" s="248">
        <f>'Expected NPV &amp; Common Data'!G60</f>
        <v>10</v>
      </c>
      <c r="H240" s="248">
        <f>'Expected NPV &amp; Common Data'!H60</f>
        <v>10</v>
      </c>
      <c r="I240" s="248">
        <f>'Expected NPV &amp; Common Data'!I60</f>
        <v>10</v>
      </c>
      <c r="J240" s="248">
        <f>'Expected NPV &amp; Common Data'!J60</f>
        <v>10</v>
      </c>
      <c r="K240" s="248">
        <f>'Expected NPV &amp; Common Data'!K60</f>
        <v>10</v>
      </c>
      <c r="L240" s="248">
        <f>'Expected NPV &amp; Common Data'!L60</f>
        <v>10</v>
      </c>
      <c r="M240" s="248">
        <f>'Expected NPV &amp; Common Data'!M60</f>
        <v>10</v>
      </c>
      <c r="N240" s="248">
        <f>'Expected NPV &amp; Common Data'!N60</f>
        <v>10</v>
      </c>
      <c r="O240" s="248">
        <f>'Expected NPV &amp; Common Data'!O60</f>
        <v>10</v>
      </c>
      <c r="P240" s="248">
        <f>'Expected NPV &amp; Common Data'!P60</f>
        <v>10</v>
      </c>
      <c r="Q240" s="248">
        <f>'Expected NPV &amp; Common Data'!Q60</f>
        <v>10</v>
      </c>
      <c r="R240" s="248">
        <f>'Expected NPV &amp; Common Data'!R60</f>
        <v>10</v>
      </c>
      <c r="S240" s="248">
        <f>'Expected NPV &amp; Common Data'!S60</f>
        <v>10</v>
      </c>
      <c r="T240" s="248">
        <f>'Expected NPV &amp; Common Data'!T60</f>
        <v>10</v>
      </c>
      <c r="U240" s="248">
        <f>'Expected NPV &amp; Common Data'!U60</f>
        <v>10</v>
      </c>
      <c r="V240" s="248">
        <f>'Expected NPV &amp; Common Data'!V60</f>
        <v>10</v>
      </c>
      <c r="W240" s="248">
        <f>'Expected NPV &amp; Common Data'!W60</f>
        <v>10</v>
      </c>
      <c r="X240" s="248">
        <f>'Expected NPV &amp; Common Data'!X60</f>
        <v>10</v>
      </c>
      <c r="Y240" s="248">
        <f>'Expected NPV &amp; Common Data'!Y60</f>
        <v>10</v>
      </c>
      <c r="Z240" s="248">
        <f>'Expected NPV &amp; Common Data'!Z60</f>
        <v>10</v>
      </c>
      <c r="AA240" s="248">
        <f>'Expected NPV &amp; Common Data'!AA60</f>
        <v>10</v>
      </c>
      <c r="AB240" s="248">
        <f>'Expected NPV &amp; Common Data'!AB60</f>
        <v>10</v>
      </c>
      <c r="AC240" s="248">
        <f>'Expected NPV &amp; Common Data'!AC60</f>
        <v>10</v>
      </c>
      <c r="AD240" s="248">
        <f>'Expected NPV &amp; Common Data'!AD60</f>
        <v>10</v>
      </c>
    </row>
    <row r="241" spans="1:30" outlineLevel="1">
      <c r="A241" s="247" t="str">
        <f>'Expected NPV &amp; Common Data'!A61</f>
        <v>gold deduction</v>
      </c>
      <c r="B241" s="247" t="str">
        <f>'Expected NPV &amp; Common Data'!B61</f>
        <v>% of Au total content</v>
      </c>
      <c r="C241" s="247"/>
      <c r="D241" s="262">
        <f>'Expected NPV &amp; Common Data'!D61</f>
        <v>0.03</v>
      </c>
      <c r="E241" s="262">
        <f>'Expected NPV &amp; Common Data'!E61</f>
        <v>0.03</v>
      </c>
      <c r="F241" s="262">
        <f>'Expected NPV &amp; Common Data'!F61</f>
        <v>0.03</v>
      </c>
      <c r="G241" s="262">
        <f>'Expected NPV &amp; Common Data'!G61</f>
        <v>0.03</v>
      </c>
      <c r="H241" s="262">
        <f>'Expected NPV &amp; Common Data'!H61</f>
        <v>0.03</v>
      </c>
      <c r="I241" s="262">
        <f>'Expected NPV &amp; Common Data'!I61</f>
        <v>0.03</v>
      </c>
      <c r="J241" s="262">
        <f>'Expected NPV &amp; Common Data'!J61</f>
        <v>0.03</v>
      </c>
      <c r="K241" s="262">
        <f>'Expected NPV &amp; Common Data'!K61</f>
        <v>0.03</v>
      </c>
      <c r="L241" s="262">
        <f>'Expected NPV &amp; Common Data'!L61</f>
        <v>0.03</v>
      </c>
      <c r="M241" s="262">
        <f>'Expected NPV &amp; Common Data'!M61</f>
        <v>0.03</v>
      </c>
      <c r="N241" s="262">
        <f>'Expected NPV &amp; Common Data'!N61</f>
        <v>0.03</v>
      </c>
      <c r="O241" s="262">
        <f>'Expected NPV &amp; Common Data'!O61</f>
        <v>0.03</v>
      </c>
      <c r="P241" s="262">
        <f>'Expected NPV &amp; Common Data'!P61</f>
        <v>0.03</v>
      </c>
      <c r="Q241" s="262">
        <f>'Expected NPV &amp; Common Data'!Q61</f>
        <v>0.03</v>
      </c>
      <c r="R241" s="262">
        <f>'Expected NPV &amp; Common Data'!R61</f>
        <v>0.03</v>
      </c>
      <c r="S241" s="262">
        <f>'Expected NPV &amp; Common Data'!S61</f>
        <v>0.03</v>
      </c>
      <c r="T241" s="262">
        <f>'Expected NPV &amp; Common Data'!T61</f>
        <v>0.03</v>
      </c>
      <c r="U241" s="262">
        <f>'Expected NPV &amp; Common Data'!U61</f>
        <v>0.03</v>
      </c>
      <c r="V241" s="262">
        <f>'Expected NPV &amp; Common Data'!V61</f>
        <v>0.03</v>
      </c>
      <c r="W241" s="262">
        <f>'Expected NPV &amp; Common Data'!W61</f>
        <v>0.03</v>
      </c>
      <c r="X241" s="262">
        <f>'Expected NPV &amp; Common Data'!X61</f>
        <v>0.03</v>
      </c>
      <c r="Y241" s="262">
        <f>'Expected NPV &amp; Common Data'!Y61</f>
        <v>0.03</v>
      </c>
      <c r="Z241" s="262">
        <f>'Expected NPV &amp; Common Data'!Z61</f>
        <v>0.03</v>
      </c>
      <c r="AA241" s="262">
        <f>'Expected NPV &amp; Common Data'!AA61</f>
        <v>0.03</v>
      </c>
      <c r="AB241" s="262">
        <f>'Expected NPV &amp; Common Data'!AB61</f>
        <v>0.03</v>
      </c>
      <c r="AC241" s="262">
        <f>'Expected NPV &amp; Common Data'!AC61</f>
        <v>0.03</v>
      </c>
      <c r="AD241" s="262">
        <f>'Expected NPV &amp; Common Data'!AD61</f>
        <v>0.03</v>
      </c>
    </row>
    <row r="242" spans="1:30" outlineLevel="1">
      <c r="A242" s="247" t="str">
        <f>'Expected NPV &amp; Common Data'!A62</f>
        <v>Copper concentrate &lt;XX g/t Au</v>
      </c>
      <c r="B242" s="247" t="str">
        <f>'Expected NPV &amp; Common Data'!B62</f>
        <v>g/t Au</v>
      </c>
      <c r="C242" s="247"/>
      <c r="D242" s="248">
        <f>'Expected NPV &amp; Common Data'!D62</f>
        <v>20</v>
      </c>
      <c r="E242" s="248">
        <f>'Expected NPV &amp; Common Data'!E62</f>
        <v>20</v>
      </c>
      <c r="F242" s="248">
        <f>'Expected NPV &amp; Common Data'!F62</f>
        <v>20</v>
      </c>
      <c r="G242" s="248">
        <f>'Expected NPV &amp; Common Data'!G62</f>
        <v>20</v>
      </c>
      <c r="H242" s="248">
        <f>'Expected NPV &amp; Common Data'!H62</f>
        <v>20</v>
      </c>
      <c r="I242" s="248">
        <f>'Expected NPV &amp; Common Data'!I62</f>
        <v>20</v>
      </c>
      <c r="J242" s="248">
        <f>'Expected NPV &amp; Common Data'!J62</f>
        <v>20</v>
      </c>
      <c r="K242" s="248">
        <f>'Expected NPV &amp; Common Data'!K62</f>
        <v>20</v>
      </c>
      <c r="L242" s="248">
        <f>'Expected NPV &amp; Common Data'!L62</f>
        <v>20</v>
      </c>
      <c r="M242" s="248">
        <f>'Expected NPV &amp; Common Data'!M62</f>
        <v>20</v>
      </c>
      <c r="N242" s="248">
        <f>'Expected NPV &amp; Common Data'!N62</f>
        <v>20</v>
      </c>
      <c r="O242" s="248">
        <f>'Expected NPV &amp; Common Data'!O62</f>
        <v>20</v>
      </c>
      <c r="P242" s="248">
        <f>'Expected NPV &amp; Common Data'!P62</f>
        <v>20</v>
      </c>
      <c r="Q242" s="248">
        <f>'Expected NPV &amp; Common Data'!Q62</f>
        <v>20</v>
      </c>
      <c r="R242" s="248">
        <f>'Expected NPV &amp; Common Data'!R62</f>
        <v>20</v>
      </c>
      <c r="S242" s="248">
        <f>'Expected NPV &amp; Common Data'!S62</f>
        <v>20</v>
      </c>
      <c r="T242" s="248">
        <f>'Expected NPV &amp; Common Data'!T62</f>
        <v>20</v>
      </c>
      <c r="U242" s="248">
        <f>'Expected NPV &amp; Common Data'!U62</f>
        <v>20</v>
      </c>
      <c r="V242" s="248">
        <f>'Expected NPV &amp; Common Data'!V62</f>
        <v>20</v>
      </c>
      <c r="W242" s="248">
        <f>'Expected NPV &amp; Common Data'!W62</f>
        <v>20</v>
      </c>
      <c r="X242" s="248">
        <f>'Expected NPV &amp; Common Data'!X62</f>
        <v>20</v>
      </c>
      <c r="Y242" s="248">
        <f>'Expected NPV &amp; Common Data'!Y62</f>
        <v>20</v>
      </c>
      <c r="Z242" s="248">
        <f>'Expected NPV &amp; Common Data'!Z62</f>
        <v>20</v>
      </c>
      <c r="AA242" s="248">
        <f>'Expected NPV &amp; Common Data'!AA62</f>
        <v>20</v>
      </c>
      <c r="AB242" s="248">
        <f>'Expected NPV &amp; Common Data'!AB62</f>
        <v>20</v>
      </c>
      <c r="AC242" s="248">
        <f>'Expected NPV &amp; Common Data'!AC62</f>
        <v>20</v>
      </c>
      <c r="AD242" s="248">
        <f>'Expected NPV &amp; Common Data'!AD62</f>
        <v>20</v>
      </c>
    </row>
    <row r="243" spans="1:30" outlineLevel="1">
      <c r="A243" s="247" t="str">
        <f>'Expected NPV &amp; Common Data'!A63</f>
        <v>gold deduction</v>
      </c>
      <c r="B243" s="247" t="str">
        <f>'Expected NPV &amp; Common Data'!B63</f>
        <v>% of Au total content</v>
      </c>
      <c r="C243" s="247"/>
      <c r="D243" s="263">
        <f>'Expected NPV &amp; Common Data'!D63</f>
        <v>2.5000000000000001E-2</v>
      </c>
      <c r="E243" s="263">
        <f>'Expected NPV &amp; Common Data'!E63</f>
        <v>2.5000000000000001E-2</v>
      </c>
      <c r="F243" s="263">
        <f>'Expected NPV &amp; Common Data'!F63</f>
        <v>2.5000000000000001E-2</v>
      </c>
      <c r="G243" s="263">
        <f>'Expected NPV &amp; Common Data'!G63</f>
        <v>2.5000000000000001E-2</v>
      </c>
      <c r="H243" s="263">
        <f>'Expected NPV &amp; Common Data'!H63</f>
        <v>2.5000000000000001E-2</v>
      </c>
      <c r="I243" s="263">
        <f>'Expected NPV &amp; Common Data'!I63</f>
        <v>2.5000000000000001E-2</v>
      </c>
      <c r="J243" s="263">
        <f>'Expected NPV &amp; Common Data'!J63</f>
        <v>2.5000000000000001E-2</v>
      </c>
      <c r="K243" s="263">
        <f>'Expected NPV &amp; Common Data'!K63</f>
        <v>2.5000000000000001E-2</v>
      </c>
      <c r="L243" s="263">
        <f>'Expected NPV &amp; Common Data'!L63</f>
        <v>2.5000000000000001E-2</v>
      </c>
      <c r="M243" s="263">
        <f>'Expected NPV &amp; Common Data'!M63</f>
        <v>2.5000000000000001E-2</v>
      </c>
      <c r="N243" s="263">
        <f>'Expected NPV &amp; Common Data'!N63</f>
        <v>2.5000000000000001E-2</v>
      </c>
      <c r="O243" s="263">
        <f>'Expected NPV &amp; Common Data'!O63</f>
        <v>2.5000000000000001E-2</v>
      </c>
      <c r="P243" s="263">
        <f>'Expected NPV &amp; Common Data'!P63</f>
        <v>2.5000000000000001E-2</v>
      </c>
      <c r="Q243" s="263">
        <f>'Expected NPV &amp; Common Data'!Q63</f>
        <v>2.5000000000000001E-2</v>
      </c>
      <c r="R243" s="263">
        <f>'Expected NPV &amp; Common Data'!R63</f>
        <v>2.5000000000000001E-2</v>
      </c>
      <c r="S243" s="263">
        <f>'Expected NPV &amp; Common Data'!S63</f>
        <v>2.5000000000000001E-2</v>
      </c>
      <c r="T243" s="263">
        <f>'Expected NPV &amp; Common Data'!T63</f>
        <v>2.5000000000000001E-2</v>
      </c>
      <c r="U243" s="263">
        <f>'Expected NPV &amp; Common Data'!U63</f>
        <v>2.5000000000000001E-2</v>
      </c>
      <c r="V243" s="263">
        <f>'Expected NPV &amp; Common Data'!V63</f>
        <v>2.5000000000000001E-2</v>
      </c>
      <c r="W243" s="263">
        <f>'Expected NPV &amp; Common Data'!W63</f>
        <v>2.5000000000000001E-2</v>
      </c>
      <c r="X243" s="263">
        <f>'Expected NPV &amp; Common Data'!X63</f>
        <v>2.5000000000000001E-2</v>
      </c>
      <c r="Y243" s="263">
        <f>'Expected NPV &amp; Common Data'!Y63</f>
        <v>2.5000000000000001E-2</v>
      </c>
      <c r="Z243" s="263">
        <f>'Expected NPV &amp; Common Data'!Z63</f>
        <v>2.5000000000000001E-2</v>
      </c>
      <c r="AA243" s="263">
        <f>'Expected NPV &amp; Common Data'!AA63</f>
        <v>2.5000000000000001E-2</v>
      </c>
      <c r="AB243" s="263">
        <f>'Expected NPV &amp; Common Data'!AB63</f>
        <v>2.5000000000000001E-2</v>
      </c>
      <c r="AC243" s="263">
        <f>'Expected NPV &amp; Common Data'!AC63</f>
        <v>2.5000000000000001E-2</v>
      </c>
      <c r="AD243" s="263">
        <f>'Expected NPV &amp; Common Data'!AD63</f>
        <v>2.5000000000000001E-2</v>
      </c>
    </row>
    <row r="244" spans="1:30" outlineLevel="1">
      <c r="C244" s="44"/>
      <c r="D244" s="42"/>
      <c r="E244" s="42"/>
      <c r="F244" s="42"/>
      <c r="G244" s="42"/>
      <c r="H244" s="42"/>
      <c r="I244" s="42"/>
      <c r="J244" s="42"/>
      <c r="K244" s="42"/>
      <c r="L244" s="42"/>
      <c r="M244" s="42"/>
      <c r="N244" s="42"/>
      <c r="O244" s="42"/>
      <c r="P244" s="42"/>
      <c r="Q244" s="42"/>
      <c r="R244" s="42"/>
      <c r="S244" s="42"/>
      <c r="T244" s="42"/>
      <c r="U244" s="42"/>
      <c r="V244" s="42"/>
      <c r="W244" s="42"/>
      <c r="X244" s="42"/>
      <c r="Y244" s="42"/>
      <c r="Z244" s="42"/>
      <c r="AA244" s="42"/>
      <c r="AB244" s="42"/>
      <c r="AC244" s="42"/>
      <c r="AD244" s="42"/>
    </row>
    <row r="245" spans="1:30" outlineLevel="1">
      <c r="A245" s="13" t="s">
        <v>57</v>
      </c>
      <c r="B245" s="13" t="s">
        <v>66</v>
      </c>
      <c r="C245" s="38"/>
      <c r="D245" s="51">
        <f t="shared" ref="D245:AD245" si="74">IF(D167&lt;D234,D233,IF(D167&lt;D236,D235,IF(D167&lt;D238,D237,IF(D167&lt;D240,D239,IF(D167&lt;D242,D241,D243)))))</f>
        <v>1</v>
      </c>
      <c r="E245" s="51">
        <f t="shared" si="74"/>
        <v>1</v>
      </c>
      <c r="F245" s="51">
        <f t="shared" si="74"/>
        <v>0.05</v>
      </c>
      <c r="G245" s="51">
        <f t="shared" si="74"/>
        <v>0.05</v>
      </c>
      <c r="H245" s="51">
        <f t="shared" si="74"/>
        <v>0.05</v>
      </c>
      <c r="I245" s="51">
        <f t="shared" si="74"/>
        <v>0.05</v>
      </c>
      <c r="J245" s="51">
        <f t="shared" si="74"/>
        <v>0.05</v>
      </c>
      <c r="K245" s="51">
        <f t="shared" si="74"/>
        <v>0.05</v>
      </c>
      <c r="L245" s="51">
        <f t="shared" si="74"/>
        <v>0.05</v>
      </c>
      <c r="M245" s="51">
        <f t="shared" si="74"/>
        <v>0.05</v>
      </c>
      <c r="N245" s="51">
        <f t="shared" si="74"/>
        <v>0.05</v>
      </c>
      <c r="O245" s="51">
        <f t="shared" si="74"/>
        <v>0.05</v>
      </c>
      <c r="P245" s="51">
        <f t="shared" si="74"/>
        <v>0.05</v>
      </c>
      <c r="Q245" s="51">
        <f t="shared" si="74"/>
        <v>0.05</v>
      </c>
      <c r="R245" s="51">
        <f t="shared" si="74"/>
        <v>0.05</v>
      </c>
      <c r="S245" s="51">
        <f t="shared" si="74"/>
        <v>0.05</v>
      </c>
      <c r="T245" s="51">
        <f t="shared" si="74"/>
        <v>0.05</v>
      </c>
      <c r="U245" s="51">
        <f t="shared" si="74"/>
        <v>1</v>
      </c>
      <c r="V245" s="51">
        <f t="shared" si="74"/>
        <v>1</v>
      </c>
      <c r="W245" s="51">
        <f t="shared" si="74"/>
        <v>1</v>
      </c>
      <c r="X245" s="51">
        <f t="shared" si="74"/>
        <v>1</v>
      </c>
      <c r="Y245" s="51">
        <f t="shared" si="74"/>
        <v>1</v>
      </c>
      <c r="Z245" s="51">
        <f t="shared" si="74"/>
        <v>1</v>
      </c>
      <c r="AA245" s="51">
        <f t="shared" si="74"/>
        <v>1</v>
      </c>
      <c r="AB245" s="51">
        <f t="shared" si="74"/>
        <v>1</v>
      </c>
      <c r="AC245" s="51">
        <f t="shared" si="74"/>
        <v>1</v>
      </c>
      <c r="AD245" s="51">
        <f t="shared" si="74"/>
        <v>1</v>
      </c>
    </row>
    <row r="246" spans="1:30" outlineLevel="1">
      <c r="A246" s="13" t="s">
        <v>58</v>
      </c>
      <c r="B246" s="13" t="s">
        <v>36</v>
      </c>
      <c r="C246" s="44"/>
      <c r="D246" s="56">
        <f t="shared" ref="D246:AD246" si="75">D167*(1-D245)</f>
        <v>0</v>
      </c>
      <c r="E246" s="56">
        <f t="shared" si="75"/>
        <v>0</v>
      </c>
      <c r="F246" s="57">
        <f t="shared" si="75"/>
        <v>5.1633116883116879</v>
      </c>
      <c r="G246" s="56">
        <f t="shared" si="75"/>
        <v>5.1633116883116887</v>
      </c>
      <c r="H246" s="56">
        <f t="shared" si="75"/>
        <v>5.1633116883116887</v>
      </c>
      <c r="I246" s="56">
        <f t="shared" si="75"/>
        <v>5.1633116883116887</v>
      </c>
      <c r="J246" s="56">
        <f t="shared" si="75"/>
        <v>5.1633116883116879</v>
      </c>
      <c r="K246" s="56">
        <f t="shared" si="75"/>
        <v>5.1220876428960249</v>
      </c>
      <c r="L246" s="56">
        <f t="shared" si="75"/>
        <v>5.1004403131115472</v>
      </c>
      <c r="M246" s="56">
        <f t="shared" si="75"/>
        <v>5.1004403131115472</v>
      </c>
      <c r="N246" s="56">
        <f t="shared" si="75"/>
        <v>5.1004403131115472</v>
      </c>
      <c r="O246" s="56">
        <f t="shared" si="75"/>
        <v>5.1004403131115472</v>
      </c>
      <c r="P246" s="56">
        <f t="shared" si="75"/>
        <v>5.1061521462281814</v>
      </c>
      <c r="Q246" s="56">
        <f t="shared" si="75"/>
        <v>5.048571428571428</v>
      </c>
      <c r="R246" s="56">
        <f t="shared" si="75"/>
        <v>5.048571428571428</v>
      </c>
      <c r="S246" s="56">
        <f t="shared" si="75"/>
        <v>5.048571428571428</v>
      </c>
      <c r="T246" s="56">
        <f t="shared" si="75"/>
        <v>5.048571428571428</v>
      </c>
      <c r="U246" s="56">
        <f t="shared" si="75"/>
        <v>0</v>
      </c>
      <c r="V246" s="56">
        <f t="shared" si="75"/>
        <v>0</v>
      </c>
      <c r="W246" s="56">
        <f t="shared" si="75"/>
        <v>0</v>
      </c>
      <c r="X246" s="56">
        <f t="shared" si="75"/>
        <v>0</v>
      </c>
      <c r="Y246" s="56">
        <f t="shared" si="75"/>
        <v>0</v>
      </c>
      <c r="Z246" s="56">
        <f t="shared" si="75"/>
        <v>0</v>
      </c>
      <c r="AA246" s="56">
        <f t="shared" si="75"/>
        <v>0</v>
      </c>
      <c r="AB246" s="56">
        <f t="shared" si="75"/>
        <v>0</v>
      </c>
      <c r="AC246" s="56">
        <f t="shared" si="75"/>
        <v>0</v>
      </c>
      <c r="AD246" s="56">
        <f t="shared" si="75"/>
        <v>0</v>
      </c>
    </row>
    <row r="247" spans="1:30" outlineLevel="1">
      <c r="A247" s="13" t="str">
        <f>A101</f>
        <v>Gold price forecast - Low Case</v>
      </c>
      <c r="B247" s="13" t="str">
        <f>B101</f>
        <v>US$/ oz real</v>
      </c>
      <c r="C247" s="44"/>
      <c r="D247" s="42">
        <f t="shared" ref="D247:AD247" si="76">D101</f>
        <v>1500</v>
      </c>
      <c r="E247" s="42">
        <f t="shared" si="76"/>
        <v>1500</v>
      </c>
      <c r="F247" s="42">
        <f t="shared" si="76"/>
        <v>1500</v>
      </c>
      <c r="G247" s="42">
        <f t="shared" si="76"/>
        <v>1500</v>
      </c>
      <c r="H247" s="42">
        <f t="shared" si="76"/>
        <v>1500</v>
      </c>
      <c r="I247" s="42">
        <f t="shared" si="76"/>
        <v>1500</v>
      </c>
      <c r="J247" s="42">
        <f t="shared" si="76"/>
        <v>1500</v>
      </c>
      <c r="K247" s="42">
        <f t="shared" si="76"/>
        <v>1500</v>
      </c>
      <c r="L247" s="42">
        <f t="shared" si="76"/>
        <v>1500</v>
      </c>
      <c r="M247" s="42">
        <f t="shared" si="76"/>
        <v>1500</v>
      </c>
      <c r="N247" s="42">
        <f t="shared" si="76"/>
        <v>1500</v>
      </c>
      <c r="O247" s="42">
        <f t="shared" si="76"/>
        <v>1500</v>
      </c>
      <c r="P247" s="42">
        <f t="shared" si="76"/>
        <v>1500</v>
      </c>
      <c r="Q247" s="42">
        <f t="shared" si="76"/>
        <v>1500</v>
      </c>
      <c r="R247" s="42">
        <f t="shared" si="76"/>
        <v>1500</v>
      </c>
      <c r="S247" s="42">
        <f t="shared" si="76"/>
        <v>1500</v>
      </c>
      <c r="T247" s="42">
        <f t="shared" si="76"/>
        <v>1500</v>
      </c>
      <c r="U247" s="42">
        <f t="shared" si="76"/>
        <v>1500</v>
      </c>
      <c r="V247" s="42">
        <f t="shared" si="76"/>
        <v>1500</v>
      </c>
      <c r="W247" s="42">
        <f t="shared" si="76"/>
        <v>1500</v>
      </c>
      <c r="X247" s="42">
        <f t="shared" si="76"/>
        <v>1500</v>
      </c>
      <c r="Y247" s="42">
        <f t="shared" si="76"/>
        <v>1500</v>
      </c>
      <c r="Z247" s="42">
        <f t="shared" si="76"/>
        <v>1500</v>
      </c>
      <c r="AA247" s="42">
        <f t="shared" si="76"/>
        <v>1500</v>
      </c>
      <c r="AB247" s="42">
        <f t="shared" si="76"/>
        <v>1500</v>
      </c>
      <c r="AC247" s="42">
        <f t="shared" si="76"/>
        <v>1500</v>
      </c>
      <c r="AD247" s="42">
        <f t="shared" si="76"/>
        <v>1500</v>
      </c>
    </row>
    <row r="248" spans="1:30" s="14" customFormat="1" outlineLevel="1">
      <c r="A248" s="14" t="s">
        <v>213</v>
      </c>
      <c r="B248" s="13" t="s">
        <v>207</v>
      </c>
      <c r="C248" s="92"/>
      <c r="D248" s="55">
        <f t="shared" ref="D248:AD248" si="77">D246/31.1*D247</f>
        <v>0</v>
      </c>
      <c r="E248" s="55">
        <f t="shared" si="77"/>
        <v>0</v>
      </c>
      <c r="F248" s="55">
        <f t="shared" si="77"/>
        <v>249.03432580281449</v>
      </c>
      <c r="G248" s="55">
        <f t="shared" si="77"/>
        <v>249.03432580281455</v>
      </c>
      <c r="H248" s="55">
        <f t="shared" si="77"/>
        <v>249.03432580281455</v>
      </c>
      <c r="I248" s="55">
        <f t="shared" si="77"/>
        <v>249.03432580281455</v>
      </c>
      <c r="J248" s="55">
        <f t="shared" si="77"/>
        <v>249.03432580281449</v>
      </c>
      <c r="K248" s="55">
        <f t="shared" si="77"/>
        <v>247.04602779241276</v>
      </c>
      <c r="L248" s="55">
        <f t="shared" si="77"/>
        <v>246.00194436229327</v>
      </c>
      <c r="M248" s="55">
        <f t="shared" si="77"/>
        <v>246.00194436229327</v>
      </c>
      <c r="N248" s="55">
        <f t="shared" si="77"/>
        <v>246.00194436229327</v>
      </c>
      <c r="O248" s="55">
        <f t="shared" si="77"/>
        <v>246.00194436229327</v>
      </c>
      <c r="P248" s="55">
        <f t="shared" si="77"/>
        <v>246.27743470553929</v>
      </c>
      <c r="Q248" s="55">
        <f t="shared" si="77"/>
        <v>243.50022967386309</v>
      </c>
      <c r="R248" s="55">
        <f t="shared" si="77"/>
        <v>243.50022967386309</v>
      </c>
      <c r="S248" s="55">
        <f t="shared" si="77"/>
        <v>243.50022967386309</v>
      </c>
      <c r="T248" s="55">
        <f t="shared" si="77"/>
        <v>243.50022967386309</v>
      </c>
      <c r="U248" s="55">
        <f t="shared" si="77"/>
        <v>0</v>
      </c>
      <c r="V248" s="55">
        <f t="shared" si="77"/>
        <v>0</v>
      </c>
      <c r="W248" s="55">
        <f t="shared" si="77"/>
        <v>0</v>
      </c>
      <c r="X248" s="55">
        <f t="shared" si="77"/>
        <v>0</v>
      </c>
      <c r="Y248" s="55">
        <f t="shared" si="77"/>
        <v>0</v>
      </c>
      <c r="Z248" s="55">
        <f t="shared" si="77"/>
        <v>0</v>
      </c>
      <c r="AA248" s="55">
        <f t="shared" si="77"/>
        <v>0</v>
      </c>
      <c r="AB248" s="55">
        <f t="shared" si="77"/>
        <v>0</v>
      </c>
      <c r="AC248" s="55">
        <f t="shared" si="77"/>
        <v>0</v>
      </c>
      <c r="AD248" s="55">
        <f t="shared" si="77"/>
        <v>0</v>
      </c>
    </row>
    <row r="249" spans="1:30" outlineLevel="1">
      <c r="A249" s="14"/>
      <c r="D249" s="44"/>
      <c r="E249" s="44"/>
      <c r="F249" s="44"/>
      <c r="G249" s="44"/>
      <c r="H249" s="44"/>
      <c r="I249" s="44"/>
      <c r="J249" s="44"/>
      <c r="K249" s="44"/>
      <c r="L249" s="44"/>
      <c r="M249" s="44"/>
      <c r="N249" s="44"/>
      <c r="O249" s="44"/>
      <c r="P249" s="44"/>
      <c r="Q249" s="44"/>
      <c r="R249" s="44"/>
      <c r="S249" s="44"/>
      <c r="T249" s="44"/>
      <c r="U249" s="44"/>
      <c r="V249" s="44"/>
      <c r="W249" s="44"/>
      <c r="X249" s="44"/>
      <c r="Y249" s="44"/>
      <c r="Z249" s="44"/>
      <c r="AA249" s="44"/>
      <c r="AB249" s="44"/>
      <c r="AC249" s="44"/>
      <c r="AD249" s="44"/>
    </row>
    <row r="250" spans="1:30" outlineLevel="1">
      <c r="A250" s="50" t="s">
        <v>59</v>
      </c>
      <c r="C250" s="44"/>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2"/>
      <c r="AC250" s="42"/>
      <c r="AD250" s="42"/>
    </row>
    <row r="251" spans="1:30" outlineLevel="1">
      <c r="A251" s="13" t="str">
        <f t="shared" ref="A251:AD251" si="78">A168</f>
        <v>copper concentrate grade - silver</v>
      </c>
      <c r="B251" s="13" t="str">
        <f t="shared" si="78"/>
        <v>g/t Ag</v>
      </c>
      <c r="C251" s="56">
        <f t="shared" si="78"/>
        <v>26.60417216794297</v>
      </c>
      <c r="D251" s="42">
        <f t="shared" si="78"/>
        <v>0</v>
      </c>
      <c r="E251" s="42">
        <f t="shared" si="78"/>
        <v>0</v>
      </c>
      <c r="F251" s="42">
        <f t="shared" si="78"/>
        <v>50.324675324675319</v>
      </c>
      <c r="G251" s="42">
        <f t="shared" si="78"/>
        <v>50.324675324675326</v>
      </c>
      <c r="H251" s="42">
        <f t="shared" si="78"/>
        <v>50.324675324675326</v>
      </c>
      <c r="I251" s="42">
        <f t="shared" si="78"/>
        <v>50.324675324675326</v>
      </c>
      <c r="J251" s="42">
        <f t="shared" si="78"/>
        <v>50.324675324675312</v>
      </c>
      <c r="K251" s="42">
        <f t="shared" si="78"/>
        <v>32.243953651139279</v>
      </c>
      <c r="L251" s="42">
        <f t="shared" si="78"/>
        <v>22.749510763209397</v>
      </c>
      <c r="M251" s="42">
        <f t="shared" si="78"/>
        <v>22.749510763209397</v>
      </c>
      <c r="N251" s="42">
        <f t="shared" si="78"/>
        <v>22.749510763209397</v>
      </c>
      <c r="O251" s="42">
        <f t="shared" si="78"/>
        <v>22.749510763209397</v>
      </c>
      <c r="P251" s="42">
        <f t="shared" si="78"/>
        <v>25.254700726646185</v>
      </c>
      <c r="Q251" s="42">
        <f t="shared" si="78"/>
        <v>0</v>
      </c>
      <c r="R251" s="42">
        <f t="shared" si="78"/>
        <v>0</v>
      </c>
      <c r="S251" s="42">
        <f t="shared" si="78"/>
        <v>0</v>
      </c>
      <c r="T251" s="42">
        <f t="shared" si="78"/>
        <v>0</v>
      </c>
      <c r="U251" s="42">
        <f t="shared" si="78"/>
        <v>0</v>
      </c>
      <c r="V251" s="42">
        <f t="shared" si="78"/>
        <v>0</v>
      </c>
      <c r="W251" s="42">
        <f t="shared" si="78"/>
        <v>0</v>
      </c>
      <c r="X251" s="42">
        <f t="shared" si="78"/>
        <v>0</v>
      </c>
      <c r="Y251" s="42">
        <f t="shared" si="78"/>
        <v>0</v>
      </c>
      <c r="Z251" s="42">
        <f t="shared" si="78"/>
        <v>0</v>
      </c>
      <c r="AA251" s="42">
        <f t="shared" si="78"/>
        <v>0</v>
      </c>
      <c r="AB251" s="42">
        <f t="shared" si="78"/>
        <v>0</v>
      </c>
      <c r="AC251" s="42">
        <f t="shared" si="78"/>
        <v>0</v>
      </c>
      <c r="AD251" s="42">
        <f t="shared" si="78"/>
        <v>0</v>
      </c>
    </row>
    <row r="252" spans="1:30" s="134" customFormat="1" outlineLevel="1">
      <c r="A252" s="63" t="str">
        <f>'Expected NPV &amp; Common Data'!A66</f>
        <v xml:space="preserve">25 Nov 2025 S Mullah email: Buyer shall pay for 90% of the final silver content, subject to a minimum deduction of 30 g per DMT, at the London Silver Spot/US Cents Quotation.
</v>
      </c>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c r="AA252" s="64"/>
      <c r="AB252" s="64"/>
      <c r="AC252" s="64"/>
      <c r="AD252" s="64"/>
    </row>
    <row r="253" spans="1:30" outlineLevel="1">
      <c r="A253" s="247" t="str">
        <f>'Expected NPV &amp; Common Data'!A67</f>
        <v>Pay lesser of xx% of contained silver</v>
      </c>
      <c r="B253" s="247" t="str">
        <f>'Expected NPV &amp; Common Data'!B67</f>
        <v>% of Ag total content</v>
      </c>
      <c r="C253" s="247"/>
      <c r="D253" s="262">
        <f>'Expected NPV &amp; Common Data'!D67</f>
        <v>0.9</v>
      </c>
      <c r="E253" s="262">
        <f>'Expected NPV &amp; Common Data'!E67</f>
        <v>0.9</v>
      </c>
      <c r="F253" s="262">
        <f>'Expected NPV &amp; Common Data'!F67</f>
        <v>0.9</v>
      </c>
      <c r="G253" s="262">
        <f>'Expected NPV &amp; Common Data'!G67</f>
        <v>0.9</v>
      </c>
      <c r="H253" s="262">
        <f>'Expected NPV &amp; Common Data'!H67</f>
        <v>0.9</v>
      </c>
      <c r="I253" s="262">
        <f>'Expected NPV &amp; Common Data'!I67</f>
        <v>0.9</v>
      </c>
      <c r="J253" s="262">
        <f>'Expected NPV &amp; Common Data'!J67</f>
        <v>0.9</v>
      </c>
      <c r="K253" s="262">
        <f>'Expected NPV &amp; Common Data'!K67</f>
        <v>0.9</v>
      </c>
      <c r="L253" s="262">
        <f>'Expected NPV &amp; Common Data'!L67</f>
        <v>0.9</v>
      </c>
      <c r="M253" s="262">
        <f>'Expected NPV &amp; Common Data'!M67</f>
        <v>0.9</v>
      </c>
      <c r="N253" s="262">
        <f>'Expected NPV &amp; Common Data'!N67</f>
        <v>0.9</v>
      </c>
      <c r="O253" s="262">
        <f>'Expected NPV &amp; Common Data'!O67</f>
        <v>0.9</v>
      </c>
      <c r="P253" s="262">
        <f>'Expected NPV &amp; Common Data'!P67</f>
        <v>0.9</v>
      </c>
      <c r="Q253" s="262">
        <f>'Expected NPV &amp; Common Data'!Q67</f>
        <v>0.9</v>
      </c>
      <c r="R253" s="262">
        <f>'Expected NPV &amp; Common Data'!R67</f>
        <v>0.9</v>
      </c>
      <c r="S253" s="262">
        <f>'Expected NPV &amp; Common Data'!S67</f>
        <v>0.9</v>
      </c>
      <c r="T253" s="262">
        <f>'Expected NPV &amp; Common Data'!T67</f>
        <v>0.9</v>
      </c>
      <c r="U253" s="262">
        <f>'Expected NPV &amp; Common Data'!U67</f>
        <v>0.9</v>
      </c>
      <c r="V253" s="262">
        <f>'Expected NPV &amp; Common Data'!V67</f>
        <v>0.9</v>
      </c>
      <c r="W253" s="262">
        <f>'Expected NPV &amp; Common Data'!W67</f>
        <v>0.9</v>
      </c>
      <c r="X253" s="262">
        <f>'Expected NPV &amp; Common Data'!X67</f>
        <v>0.9</v>
      </c>
      <c r="Y253" s="262">
        <f>'Expected NPV &amp; Common Data'!Y67</f>
        <v>0.9</v>
      </c>
      <c r="Z253" s="262">
        <f>'Expected NPV &amp; Common Data'!Z67</f>
        <v>0.9</v>
      </c>
      <c r="AA253" s="262">
        <f>'Expected NPV &amp; Common Data'!AA67</f>
        <v>0.9</v>
      </c>
      <c r="AB253" s="262">
        <f>'Expected NPV &amp; Common Data'!AB67</f>
        <v>0.9</v>
      </c>
      <c r="AC253" s="262">
        <f>'Expected NPV &amp; Common Data'!AC67</f>
        <v>0.9</v>
      </c>
      <c r="AD253" s="262">
        <f>'Expected NPV &amp; Common Data'!AD67</f>
        <v>0.9</v>
      </c>
    </row>
    <row r="254" spans="1:30" outlineLevel="1">
      <c r="A254" s="247" t="str">
        <f>'Expected NPV &amp; Common Data'!A68</f>
        <v>OR minimum deduction …. g/t Ag</v>
      </c>
      <c r="B254" s="247"/>
      <c r="C254" s="248"/>
      <c r="D254" s="248">
        <f>'Expected NPV &amp; Common Data'!D68</f>
        <v>30</v>
      </c>
      <c r="E254" s="248">
        <f>'Expected NPV &amp; Common Data'!E68</f>
        <v>30</v>
      </c>
      <c r="F254" s="248">
        <f>'Expected NPV &amp; Common Data'!F68</f>
        <v>30</v>
      </c>
      <c r="G254" s="248">
        <f>'Expected NPV &amp; Common Data'!G68</f>
        <v>30</v>
      </c>
      <c r="H254" s="248">
        <f>'Expected NPV &amp; Common Data'!H68</f>
        <v>30</v>
      </c>
      <c r="I254" s="248">
        <f>'Expected NPV &amp; Common Data'!I68</f>
        <v>30</v>
      </c>
      <c r="J254" s="248">
        <f>'Expected NPV &amp; Common Data'!J68</f>
        <v>30</v>
      </c>
      <c r="K254" s="248">
        <f>'Expected NPV &amp; Common Data'!K68</f>
        <v>30</v>
      </c>
      <c r="L254" s="248">
        <f>'Expected NPV &amp; Common Data'!L68</f>
        <v>30</v>
      </c>
      <c r="M254" s="248">
        <f>'Expected NPV &amp; Common Data'!M68</f>
        <v>30</v>
      </c>
      <c r="N254" s="248">
        <f>'Expected NPV &amp; Common Data'!N68</f>
        <v>30</v>
      </c>
      <c r="O254" s="248">
        <f>'Expected NPV &amp; Common Data'!O68</f>
        <v>30</v>
      </c>
      <c r="P254" s="248">
        <f>'Expected NPV &amp; Common Data'!P68</f>
        <v>30</v>
      </c>
      <c r="Q254" s="248">
        <f>'Expected NPV &amp; Common Data'!Q68</f>
        <v>30</v>
      </c>
      <c r="R254" s="248">
        <f>'Expected NPV &amp; Common Data'!R68</f>
        <v>30</v>
      </c>
      <c r="S254" s="248">
        <f>'Expected NPV &amp; Common Data'!S68</f>
        <v>30</v>
      </c>
      <c r="T254" s="248">
        <f>'Expected NPV &amp; Common Data'!T68</f>
        <v>30</v>
      </c>
      <c r="U254" s="248">
        <f>'Expected NPV &amp; Common Data'!U68</f>
        <v>30</v>
      </c>
      <c r="V254" s="248">
        <f>'Expected NPV &amp; Common Data'!V68</f>
        <v>30</v>
      </c>
      <c r="W254" s="248">
        <f>'Expected NPV &amp; Common Data'!W68</f>
        <v>30</v>
      </c>
      <c r="X254" s="248">
        <f>'Expected NPV &amp; Common Data'!X68</f>
        <v>30</v>
      </c>
      <c r="Y254" s="248">
        <f>'Expected NPV &amp; Common Data'!Y68</f>
        <v>30</v>
      </c>
      <c r="Z254" s="248">
        <f>'Expected NPV &amp; Common Data'!Z68</f>
        <v>30</v>
      </c>
      <c r="AA254" s="248">
        <f>'Expected NPV &amp; Common Data'!AA68</f>
        <v>30</v>
      </c>
      <c r="AB254" s="248">
        <f>'Expected NPV &amp; Common Data'!AB68</f>
        <v>30</v>
      </c>
      <c r="AC254" s="248">
        <f>'Expected NPV &amp; Common Data'!AC68</f>
        <v>30</v>
      </c>
      <c r="AD254" s="248">
        <f>'Expected NPV &amp; Common Data'!AD68</f>
        <v>30</v>
      </c>
    </row>
    <row r="255" spans="1:30" outlineLevel="1">
      <c r="A255" s="13" t="s">
        <v>211</v>
      </c>
      <c r="B255" s="13" t="s">
        <v>37</v>
      </c>
      <c r="C255" s="44"/>
      <c r="D255" s="42">
        <f t="shared" ref="D255:AD255" si="79">MAX(0,MIN(D168*D253,D168-D254))</f>
        <v>0</v>
      </c>
      <c r="E255" s="42">
        <f t="shared" si="79"/>
        <v>0</v>
      </c>
      <c r="F255" s="42">
        <f t="shared" si="79"/>
        <v>20.324675324675319</v>
      </c>
      <c r="G255" s="42">
        <f t="shared" si="79"/>
        <v>20.324675324675326</v>
      </c>
      <c r="H255" s="42">
        <f t="shared" si="79"/>
        <v>20.324675324675326</v>
      </c>
      <c r="I255" s="42">
        <f t="shared" si="79"/>
        <v>20.324675324675326</v>
      </c>
      <c r="J255" s="42">
        <f t="shared" si="79"/>
        <v>20.324675324675312</v>
      </c>
      <c r="K255" s="42">
        <f t="shared" si="79"/>
        <v>2.2439536511392788</v>
      </c>
      <c r="L255" s="42">
        <f t="shared" si="79"/>
        <v>0</v>
      </c>
      <c r="M255" s="42">
        <f t="shared" si="79"/>
        <v>0</v>
      </c>
      <c r="N255" s="42">
        <f t="shared" si="79"/>
        <v>0</v>
      </c>
      <c r="O255" s="42">
        <f t="shared" si="79"/>
        <v>0</v>
      </c>
      <c r="P255" s="42">
        <f t="shared" si="79"/>
        <v>0</v>
      </c>
      <c r="Q255" s="42">
        <f t="shared" si="79"/>
        <v>0</v>
      </c>
      <c r="R255" s="42">
        <f t="shared" si="79"/>
        <v>0</v>
      </c>
      <c r="S255" s="42">
        <f t="shared" si="79"/>
        <v>0</v>
      </c>
      <c r="T255" s="42">
        <f t="shared" si="79"/>
        <v>0</v>
      </c>
      <c r="U255" s="42">
        <f t="shared" si="79"/>
        <v>0</v>
      </c>
      <c r="V255" s="42">
        <f t="shared" si="79"/>
        <v>0</v>
      </c>
      <c r="W255" s="42">
        <f t="shared" si="79"/>
        <v>0</v>
      </c>
      <c r="X255" s="42">
        <f t="shared" si="79"/>
        <v>0</v>
      </c>
      <c r="Y255" s="42">
        <f t="shared" si="79"/>
        <v>0</v>
      </c>
      <c r="Z255" s="42">
        <f t="shared" si="79"/>
        <v>0</v>
      </c>
      <c r="AA255" s="42">
        <f t="shared" si="79"/>
        <v>0</v>
      </c>
      <c r="AB255" s="42">
        <f t="shared" si="79"/>
        <v>0</v>
      </c>
      <c r="AC255" s="42">
        <f t="shared" si="79"/>
        <v>0</v>
      </c>
      <c r="AD255" s="42">
        <f t="shared" si="79"/>
        <v>0</v>
      </c>
    </row>
    <row r="256" spans="1:30" outlineLevel="1">
      <c r="A256" s="13" t="str">
        <f>A102</f>
        <v>Silver price forecast - Low Case</v>
      </c>
      <c r="B256" s="13" t="str">
        <f>B102</f>
        <v>US$/ oz real</v>
      </c>
      <c r="C256" s="44"/>
      <c r="D256" s="42">
        <f t="shared" ref="D256:AD256" si="80">D102</f>
        <v>25</v>
      </c>
      <c r="E256" s="42">
        <f t="shared" si="80"/>
        <v>25</v>
      </c>
      <c r="F256" s="42">
        <f t="shared" si="80"/>
        <v>25</v>
      </c>
      <c r="G256" s="42">
        <f t="shared" si="80"/>
        <v>25</v>
      </c>
      <c r="H256" s="42">
        <f t="shared" si="80"/>
        <v>25</v>
      </c>
      <c r="I256" s="42">
        <f t="shared" si="80"/>
        <v>25</v>
      </c>
      <c r="J256" s="42">
        <f t="shared" si="80"/>
        <v>25</v>
      </c>
      <c r="K256" s="42">
        <f t="shared" si="80"/>
        <v>25</v>
      </c>
      <c r="L256" s="42">
        <f t="shared" si="80"/>
        <v>25</v>
      </c>
      <c r="M256" s="42">
        <f t="shared" si="80"/>
        <v>25</v>
      </c>
      <c r="N256" s="42">
        <f t="shared" si="80"/>
        <v>25</v>
      </c>
      <c r="O256" s="42">
        <f t="shared" si="80"/>
        <v>25</v>
      </c>
      <c r="P256" s="42">
        <f t="shared" si="80"/>
        <v>25</v>
      </c>
      <c r="Q256" s="42">
        <f t="shared" si="80"/>
        <v>25</v>
      </c>
      <c r="R256" s="42">
        <f t="shared" si="80"/>
        <v>25</v>
      </c>
      <c r="S256" s="42">
        <f t="shared" si="80"/>
        <v>25</v>
      </c>
      <c r="T256" s="42">
        <f t="shared" si="80"/>
        <v>25</v>
      </c>
      <c r="U256" s="42">
        <f t="shared" si="80"/>
        <v>25</v>
      </c>
      <c r="V256" s="42">
        <f t="shared" si="80"/>
        <v>25</v>
      </c>
      <c r="W256" s="42">
        <f t="shared" si="80"/>
        <v>25</v>
      </c>
      <c r="X256" s="42">
        <f t="shared" si="80"/>
        <v>25</v>
      </c>
      <c r="Y256" s="42">
        <f t="shared" si="80"/>
        <v>25</v>
      </c>
      <c r="Z256" s="42">
        <f t="shared" si="80"/>
        <v>25</v>
      </c>
      <c r="AA256" s="42">
        <f t="shared" si="80"/>
        <v>25</v>
      </c>
      <c r="AB256" s="42">
        <f t="shared" si="80"/>
        <v>25</v>
      </c>
      <c r="AC256" s="42">
        <f t="shared" si="80"/>
        <v>25</v>
      </c>
      <c r="AD256" s="42">
        <f t="shared" si="80"/>
        <v>25</v>
      </c>
    </row>
    <row r="257" spans="1:30" s="14" customFormat="1" outlineLevel="1">
      <c r="A257" s="14" t="s">
        <v>211</v>
      </c>
      <c r="B257" s="13" t="s">
        <v>49</v>
      </c>
      <c r="C257" s="92"/>
      <c r="D257" s="55">
        <f t="shared" ref="D257:AD257" si="81">D255/31.1*D256</f>
        <v>0</v>
      </c>
      <c r="E257" s="55">
        <f t="shared" si="81"/>
        <v>0</v>
      </c>
      <c r="F257" s="55">
        <f t="shared" si="81"/>
        <v>16.338163444272762</v>
      </c>
      <c r="G257" s="55">
        <f t="shared" si="81"/>
        <v>16.338163444272769</v>
      </c>
      <c r="H257" s="55">
        <f t="shared" si="81"/>
        <v>16.338163444272769</v>
      </c>
      <c r="I257" s="55">
        <f t="shared" si="81"/>
        <v>16.338163444272769</v>
      </c>
      <c r="J257" s="55">
        <f t="shared" si="81"/>
        <v>16.338163444272759</v>
      </c>
      <c r="K257" s="55">
        <f t="shared" si="81"/>
        <v>1.8038212629736965</v>
      </c>
      <c r="L257" s="55">
        <f t="shared" si="81"/>
        <v>0</v>
      </c>
      <c r="M257" s="55">
        <f t="shared" si="81"/>
        <v>0</v>
      </c>
      <c r="N257" s="55">
        <f t="shared" si="81"/>
        <v>0</v>
      </c>
      <c r="O257" s="55">
        <f t="shared" si="81"/>
        <v>0</v>
      </c>
      <c r="P257" s="55">
        <f t="shared" si="81"/>
        <v>0</v>
      </c>
      <c r="Q257" s="55">
        <f t="shared" si="81"/>
        <v>0</v>
      </c>
      <c r="R257" s="55">
        <f t="shared" si="81"/>
        <v>0</v>
      </c>
      <c r="S257" s="55">
        <f t="shared" si="81"/>
        <v>0</v>
      </c>
      <c r="T257" s="55">
        <f t="shared" si="81"/>
        <v>0</v>
      </c>
      <c r="U257" s="55">
        <f t="shared" si="81"/>
        <v>0</v>
      </c>
      <c r="V257" s="55">
        <f t="shared" si="81"/>
        <v>0</v>
      </c>
      <c r="W257" s="55">
        <f t="shared" si="81"/>
        <v>0</v>
      </c>
      <c r="X257" s="55">
        <f t="shared" si="81"/>
        <v>0</v>
      </c>
      <c r="Y257" s="55">
        <f t="shared" si="81"/>
        <v>0</v>
      </c>
      <c r="Z257" s="55">
        <f t="shared" si="81"/>
        <v>0</v>
      </c>
      <c r="AA257" s="55">
        <f t="shared" si="81"/>
        <v>0</v>
      </c>
      <c r="AB257" s="55">
        <f t="shared" si="81"/>
        <v>0</v>
      </c>
      <c r="AC257" s="55">
        <f t="shared" si="81"/>
        <v>0</v>
      </c>
      <c r="AD257" s="55">
        <f t="shared" si="81"/>
        <v>0</v>
      </c>
    </row>
    <row r="258" spans="1:30" outlineLevel="1">
      <c r="C258" s="44"/>
      <c r="D258" s="42"/>
      <c r="E258" s="42"/>
      <c r="F258" s="42"/>
      <c r="G258" s="42"/>
      <c r="H258" s="42"/>
      <c r="I258" s="42"/>
      <c r="J258" s="42"/>
      <c r="K258" s="42"/>
      <c r="L258" s="42"/>
      <c r="M258" s="42"/>
      <c r="N258" s="42"/>
      <c r="O258" s="42"/>
      <c r="P258" s="42"/>
      <c r="Q258" s="42"/>
      <c r="R258" s="42"/>
      <c r="S258" s="42"/>
      <c r="T258" s="42"/>
      <c r="U258" s="42"/>
      <c r="V258" s="42"/>
      <c r="W258" s="42"/>
      <c r="X258" s="42"/>
      <c r="Y258" s="42"/>
      <c r="Z258" s="42"/>
      <c r="AA258" s="42"/>
      <c r="AB258" s="42"/>
      <c r="AC258" s="42"/>
      <c r="AD258" s="42"/>
    </row>
    <row r="259" spans="1:30" s="126" customFormat="1" ht="28.75" customHeight="1" outlineLevel="1">
      <c r="A259" s="126" t="s">
        <v>71</v>
      </c>
      <c r="B259" s="32" t="s">
        <v>208</v>
      </c>
      <c r="C259" s="125"/>
      <c r="D259" s="138">
        <f t="shared" ref="D259:AD259" si="82">D228+D248+D257</f>
        <v>0</v>
      </c>
      <c r="E259" s="138">
        <f t="shared" si="82"/>
        <v>0</v>
      </c>
      <c r="F259" s="138">
        <f t="shared" si="82"/>
        <v>2577.231790747087</v>
      </c>
      <c r="G259" s="138">
        <f t="shared" si="82"/>
        <v>2577.231790747087</v>
      </c>
      <c r="H259" s="138">
        <f t="shared" si="82"/>
        <v>2577.231790747087</v>
      </c>
      <c r="I259" s="138">
        <f t="shared" si="82"/>
        <v>2577.231790747087</v>
      </c>
      <c r="J259" s="138">
        <f t="shared" si="82"/>
        <v>2577.231790747087</v>
      </c>
      <c r="K259" s="138">
        <f t="shared" si="82"/>
        <v>2560.7091505553858</v>
      </c>
      <c r="L259" s="138">
        <f t="shared" si="82"/>
        <v>2557.8612458622929</v>
      </c>
      <c r="M259" s="138">
        <f t="shared" si="82"/>
        <v>2557.8612458622929</v>
      </c>
      <c r="N259" s="138">
        <f t="shared" si="82"/>
        <v>2557.8612458622929</v>
      </c>
      <c r="O259" s="138">
        <f t="shared" si="82"/>
        <v>2557.8612458622929</v>
      </c>
      <c r="P259" s="138">
        <f t="shared" si="82"/>
        <v>2558.1367362055389</v>
      </c>
      <c r="Q259" s="138">
        <f t="shared" si="82"/>
        <v>2555.3595311738627</v>
      </c>
      <c r="R259" s="138">
        <f t="shared" si="82"/>
        <v>2555.3595311738627</v>
      </c>
      <c r="S259" s="138">
        <f t="shared" si="82"/>
        <v>2555.3595311738627</v>
      </c>
      <c r="T259" s="138">
        <f t="shared" si="82"/>
        <v>2555.3595311738627</v>
      </c>
      <c r="U259" s="138">
        <f t="shared" si="82"/>
        <v>0</v>
      </c>
      <c r="V259" s="138">
        <f t="shared" si="82"/>
        <v>0</v>
      </c>
      <c r="W259" s="138">
        <f t="shared" si="82"/>
        <v>0</v>
      </c>
      <c r="X259" s="138">
        <f t="shared" si="82"/>
        <v>0</v>
      </c>
      <c r="Y259" s="138">
        <f t="shared" si="82"/>
        <v>0</v>
      </c>
      <c r="Z259" s="138">
        <f t="shared" si="82"/>
        <v>0</v>
      </c>
      <c r="AA259" s="138">
        <f t="shared" si="82"/>
        <v>0</v>
      </c>
      <c r="AB259" s="138">
        <f t="shared" si="82"/>
        <v>0</v>
      </c>
      <c r="AC259" s="138">
        <f t="shared" si="82"/>
        <v>0</v>
      </c>
      <c r="AD259" s="138">
        <f t="shared" si="82"/>
        <v>0</v>
      </c>
    </row>
    <row r="260" spans="1:30" outlineLevel="1">
      <c r="C260" s="44"/>
      <c r="D260" s="42"/>
      <c r="E260" s="42"/>
      <c r="F260" s="42"/>
      <c r="G260" s="42"/>
      <c r="H260" s="42"/>
      <c r="I260" s="42"/>
      <c r="J260" s="42"/>
      <c r="K260" s="42"/>
      <c r="L260" s="42"/>
      <c r="M260" s="42"/>
      <c r="N260" s="42"/>
      <c r="O260" s="42"/>
      <c r="P260" s="42"/>
      <c r="Q260" s="42"/>
      <c r="R260" s="42"/>
      <c r="S260" s="42"/>
      <c r="T260" s="42"/>
      <c r="U260" s="42"/>
      <c r="V260" s="42"/>
      <c r="W260" s="42"/>
      <c r="X260" s="42"/>
      <c r="Y260" s="42"/>
      <c r="Z260" s="42"/>
      <c r="AA260" s="42"/>
      <c r="AB260" s="42"/>
      <c r="AC260" s="42"/>
      <c r="AD260" s="42"/>
    </row>
    <row r="261" spans="1:30" outlineLevel="1">
      <c r="A261" s="50" t="s">
        <v>212</v>
      </c>
      <c r="C261" s="44"/>
      <c r="D261" s="42"/>
      <c r="E261" s="42"/>
      <c r="F261" s="42"/>
      <c r="G261" s="42"/>
      <c r="H261" s="42"/>
      <c r="I261" s="42"/>
      <c r="J261" s="42"/>
      <c r="K261" s="42"/>
      <c r="L261" s="42"/>
      <c r="M261" s="42"/>
      <c r="N261" s="42"/>
      <c r="O261" s="42"/>
      <c r="P261" s="42"/>
      <c r="Q261" s="42"/>
      <c r="R261" s="42"/>
      <c r="S261" s="42"/>
      <c r="T261" s="42"/>
      <c r="U261" s="42"/>
      <c r="V261" s="42"/>
      <c r="W261" s="42"/>
      <c r="X261" s="42"/>
      <c r="Y261" s="42"/>
      <c r="Z261" s="42"/>
      <c r="AA261" s="42"/>
      <c r="AB261" s="42"/>
      <c r="AC261" s="42"/>
      <c r="AD261" s="42"/>
    </row>
    <row r="262" spans="1:30" outlineLevel="1">
      <c r="A262" s="49" t="s">
        <v>64</v>
      </c>
      <c r="C262" s="44"/>
      <c r="D262" s="42"/>
      <c r="E262" s="42"/>
      <c r="F262" s="42"/>
      <c r="G262" s="42"/>
      <c r="H262" s="42"/>
      <c r="I262" s="42"/>
      <c r="J262" s="42"/>
      <c r="K262" s="42"/>
      <c r="L262" s="42"/>
      <c r="M262" s="42"/>
      <c r="N262" s="42"/>
      <c r="O262" s="42"/>
      <c r="P262" s="42"/>
      <c r="Q262" s="42"/>
      <c r="R262" s="42"/>
      <c r="S262" s="42"/>
      <c r="T262" s="42"/>
      <c r="U262" s="42"/>
      <c r="V262" s="42"/>
      <c r="W262" s="42"/>
      <c r="X262" s="42"/>
      <c r="Y262" s="42"/>
      <c r="Z262" s="42"/>
      <c r="AA262" s="42"/>
      <c r="AB262" s="42"/>
      <c r="AC262" s="42"/>
      <c r="AD262" s="42"/>
    </row>
    <row r="263" spans="1:30" s="14" customFormat="1" outlineLevel="1">
      <c r="A263" s="14" t="s">
        <v>69</v>
      </c>
      <c r="B263" s="13" t="s">
        <v>60</v>
      </c>
      <c r="C263" s="92"/>
      <c r="D263" s="55">
        <f t="shared" ref="D263:AD263" si="83">IF(D259=0,0,D105)</f>
        <v>0</v>
      </c>
      <c r="E263" s="55">
        <f t="shared" si="83"/>
        <v>0</v>
      </c>
      <c r="F263" s="55">
        <f t="shared" si="83"/>
        <v>100</v>
      </c>
      <c r="G263" s="55">
        <f t="shared" si="83"/>
        <v>100</v>
      </c>
      <c r="H263" s="55">
        <f t="shared" si="83"/>
        <v>100</v>
      </c>
      <c r="I263" s="55">
        <f t="shared" si="83"/>
        <v>100</v>
      </c>
      <c r="J263" s="55">
        <f t="shared" si="83"/>
        <v>100</v>
      </c>
      <c r="K263" s="55">
        <f t="shared" si="83"/>
        <v>100</v>
      </c>
      <c r="L263" s="55">
        <f t="shared" si="83"/>
        <v>100</v>
      </c>
      <c r="M263" s="55">
        <f t="shared" si="83"/>
        <v>100</v>
      </c>
      <c r="N263" s="55">
        <f t="shared" si="83"/>
        <v>100</v>
      </c>
      <c r="O263" s="55">
        <f t="shared" si="83"/>
        <v>100</v>
      </c>
      <c r="P263" s="55">
        <f t="shared" si="83"/>
        <v>100</v>
      </c>
      <c r="Q263" s="55">
        <f t="shared" si="83"/>
        <v>100</v>
      </c>
      <c r="R263" s="55">
        <f t="shared" si="83"/>
        <v>100</v>
      </c>
      <c r="S263" s="55">
        <f t="shared" si="83"/>
        <v>100</v>
      </c>
      <c r="T263" s="55">
        <f t="shared" si="83"/>
        <v>100</v>
      </c>
      <c r="U263" s="55">
        <f t="shared" si="83"/>
        <v>0</v>
      </c>
      <c r="V263" s="55">
        <f t="shared" si="83"/>
        <v>0</v>
      </c>
      <c r="W263" s="55">
        <f t="shared" si="83"/>
        <v>0</v>
      </c>
      <c r="X263" s="55">
        <f t="shared" si="83"/>
        <v>0</v>
      </c>
      <c r="Y263" s="55">
        <f t="shared" si="83"/>
        <v>0</v>
      </c>
      <c r="Z263" s="55">
        <f t="shared" si="83"/>
        <v>0</v>
      </c>
      <c r="AA263" s="55">
        <f t="shared" si="83"/>
        <v>0</v>
      </c>
      <c r="AB263" s="55">
        <f t="shared" si="83"/>
        <v>0</v>
      </c>
      <c r="AC263" s="55">
        <f t="shared" si="83"/>
        <v>0</v>
      </c>
      <c r="AD263" s="55">
        <f t="shared" si="83"/>
        <v>0</v>
      </c>
    </row>
    <row r="264" spans="1:30" outlineLevel="1">
      <c r="C264" s="44"/>
      <c r="D264" s="42"/>
      <c r="E264" s="42"/>
      <c r="F264" s="42"/>
      <c r="G264" s="42"/>
      <c r="H264" s="42"/>
      <c r="I264" s="42"/>
      <c r="J264" s="42"/>
      <c r="K264" s="42"/>
      <c r="L264" s="42"/>
      <c r="M264" s="42"/>
      <c r="N264" s="42"/>
      <c r="O264" s="42"/>
      <c r="P264" s="42"/>
      <c r="Q264" s="42"/>
      <c r="R264" s="42"/>
      <c r="S264" s="42"/>
      <c r="T264" s="42"/>
      <c r="U264" s="42"/>
      <c r="V264" s="42"/>
      <c r="W264" s="42"/>
      <c r="X264" s="42"/>
      <c r="Y264" s="42"/>
      <c r="Z264" s="42"/>
      <c r="AA264" s="42"/>
      <c r="AB264" s="42"/>
      <c r="AC264" s="42"/>
      <c r="AD264" s="42"/>
    </row>
    <row r="265" spans="1:30" outlineLevel="1">
      <c r="A265" s="13" t="str">
        <f>A226</f>
        <v>Concentrate's - copper payable</v>
      </c>
      <c r="B265" s="13" t="str">
        <f>B226</f>
        <v>% Cu per tonne concentrate</v>
      </c>
      <c r="C265" s="44"/>
      <c r="D265" s="47">
        <f t="shared" ref="D265:AD265" si="84">D226</f>
        <v>0</v>
      </c>
      <c r="E265" s="47">
        <f t="shared" si="84"/>
        <v>0</v>
      </c>
      <c r="F265" s="47">
        <f t="shared" si="84"/>
        <v>0.29961500000000002</v>
      </c>
      <c r="G265" s="47">
        <f t="shared" si="84"/>
        <v>0.29961500000000002</v>
      </c>
      <c r="H265" s="47">
        <f t="shared" si="84"/>
        <v>0.29961500000000002</v>
      </c>
      <c r="I265" s="47">
        <f t="shared" si="84"/>
        <v>0.29961500000000002</v>
      </c>
      <c r="J265" s="47">
        <f t="shared" si="84"/>
        <v>0.29961500000000002</v>
      </c>
      <c r="K265" s="47">
        <f t="shared" si="84"/>
        <v>0.29961500000000002</v>
      </c>
      <c r="L265" s="47">
        <f t="shared" si="84"/>
        <v>0.29961500000000002</v>
      </c>
      <c r="M265" s="47">
        <f t="shared" si="84"/>
        <v>0.29961500000000002</v>
      </c>
      <c r="N265" s="47">
        <f t="shared" si="84"/>
        <v>0.29961500000000002</v>
      </c>
      <c r="O265" s="47">
        <f t="shared" si="84"/>
        <v>0.29961500000000002</v>
      </c>
      <c r="P265" s="47">
        <f t="shared" si="84"/>
        <v>0.29961500000000002</v>
      </c>
      <c r="Q265" s="47">
        <f t="shared" si="84"/>
        <v>0.29961500000000002</v>
      </c>
      <c r="R265" s="47">
        <f t="shared" si="84"/>
        <v>0.29961500000000002</v>
      </c>
      <c r="S265" s="47">
        <f t="shared" si="84"/>
        <v>0.29961500000000002</v>
      </c>
      <c r="T265" s="47">
        <f t="shared" si="84"/>
        <v>0.29961500000000002</v>
      </c>
      <c r="U265" s="47">
        <f t="shared" si="84"/>
        <v>0</v>
      </c>
      <c r="V265" s="47">
        <f t="shared" si="84"/>
        <v>0</v>
      </c>
      <c r="W265" s="47">
        <f t="shared" si="84"/>
        <v>0</v>
      </c>
      <c r="X265" s="47">
        <f t="shared" si="84"/>
        <v>0</v>
      </c>
      <c r="Y265" s="47">
        <f t="shared" si="84"/>
        <v>0</v>
      </c>
      <c r="Z265" s="47">
        <f t="shared" si="84"/>
        <v>0</v>
      </c>
      <c r="AA265" s="47">
        <f t="shared" si="84"/>
        <v>0</v>
      </c>
      <c r="AB265" s="47">
        <f t="shared" si="84"/>
        <v>0</v>
      </c>
      <c r="AC265" s="47">
        <f t="shared" si="84"/>
        <v>0</v>
      </c>
      <c r="AD265" s="47">
        <f t="shared" si="84"/>
        <v>0</v>
      </c>
    </row>
    <row r="266" spans="1:30" outlineLevel="1">
      <c r="A266" s="13" t="str">
        <f>A106</f>
        <v>copper conc - copper refining charges - Low Case</v>
      </c>
      <c r="B266" s="13" t="str">
        <f>B106</f>
        <v>US$/lb payable Real</v>
      </c>
      <c r="C266" s="44"/>
      <c r="D266" s="79">
        <f t="shared" ref="D266:AD266" si="85">D106</f>
        <v>0.1</v>
      </c>
      <c r="E266" s="79">
        <f t="shared" si="85"/>
        <v>0.1</v>
      </c>
      <c r="F266" s="79">
        <f t="shared" si="85"/>
        <v>0.1</v>
      </c>
      <c r="G266" s="79">
        <f t="shared" si="85"/>
        <v>0.1</v>
      </c>
      <c r="H266" s="79">
        <f t="shared" si="85"/>
        <v>0.1</v>
      </c>
      <c r="I266" s="79">
        <f t="shared" si="85"/>
        <v>0.1</v>
      </c>
      <c r="J266" s="79">
        <f t="shared" si="85"/>
        <v>0.1</v>
      </c>
      <c r="K266" s="79">
        <f t="shared" si="85"/>
        <v>0.1</v>
      </c>
      <c r="L266" s="79">
        <f t="shared" si="85"/>
        <v>0.1</v>
      </c>
      <c r="M266" s="79">
        <f t="shared" si="85"/>
        <v>0.1</v>
      </c>
      <c r="N266" s="79">
        <f t="shared" si="85"/>
        <v>0.1</v>
      </c>
      <c r="O266" s="79">
        <f t="shared" si="85"/>
        <v>0.1</v>
      </c>
      <c r="P266" s="79">
        <f t="shared" si="85"/>
        <v>0.1</v>
      </c>
      <c r="Q266" s="79">
        <f t="shared" si="85"/>
        <v>0.1</v>
      </c>
      <c r="R266" s="79">
        <f t="shared" si="85"/>
        <v>0.1</v>
      </c>
      <c r="S266" s="79">
        <f t="shared" si="85"/>
        <v>0.1</v>
      </c>
      <c r="T266" s="79">
        <f t="shared" si="85"/>
        <v>0.1</v>
      </c>
      <c r="U266" s="79">
        <f t="shared" si="85"/>
        <v>0.1</v>
      </c>
      <c r="V266" s="79">
        <f t="shared" si="85"/>
        <v>0.1</v>
      </c>
      <c r="W266" s="79">
        <f t="shared" si="85"/>
        <v>0.1</v>
      </c>
      <c r="X266" s="79">
        <f t="shared" si="85"/>
        <v>0.1</v>
      </c>
      <c r="Y266" s="79">
        <f t="shared" si="85"/>
        <v>0.1</v>
      </c>
      <c r="Z266" s="79">
        <f t="shared" si="85"/>
        <v>0.1</v>
      </c>
      <c r="AA266" s="79">
        <f t="shared" si="85"/>
        <v>0.1</v>
      </c>
      <c r="AB266" s="79">
        <f t="shared" si="85"/>
        <v>0.1</v>
      </c>
      <c r="AC266" s="79">
        <f t="shared" si="85"/>
        <v>0.1</v>
      </c>
      <c r="AD266" s="79">
        <f t="shared" si="85"/>
        <v>0.1</v>
      </c>
    </row>
    <row r="267" spans="1:30" s="14" customFormat="1" outlineLevel="1">
      <c r="A267" s="14" t="s">
        <v>67</v>
      </c>
      <c r="B267" s="13" t="s">
        <v>63</v>
      </c>
      <c r="C267" s="92"/>
      <c r="D267" s="55">
        <f t="shared" ref="D267:AD267" si="86">D265*2204.6*D266</f>
        <v>0</v>
      </c>
      <c r="E267" s="55">
        <f t="shared" si="86"/>
        <v>0</v>
      </c>
      <c r="F267" s="55">
        <f t="shared" si="86"/>
        <v>66.053122900000005</v>
      </c>
      <c r="G267" s="55">
        <f t="shared" si="86"/>
        <v>66.053122900000005</v>
      </c>
      <c r="H267" s="55">
        <f t="shared" si="86"/>
        <v>66.053122900000005</v>
      </c>
      <c r="I267" s="55">
        <f t="shared" si="86"/>
        <v>66.053122900000005</v>
      </c>
      <c r="J267" s="55">
        <f t="shared" si="86"/>
        <v>66.053122900000005</v>
      </c>
      <c r="K267" s="55">
        <f t="shared" si="86"/>
        <v>66.053122900000005</v>
      </c>
      <c r="L267" s="55">
        <f t="shared" si="86"/>
        <v>66.053122900000005</v>
      </c>
      <c r="M267" s="55">
        <f t="shared" si="86"/>
        <v>66.053122900000005</v>
      </c>
      <c r="N267" s="55">
        <f t="shared" si="86"/>
        <v>66.053122900000005</v>
      </c>
      <c r="O267" s="55">
        <f t="shared" si="86"/>
        <v>66.053122900000005</v>
      </c>
      <c r="P267" s="55">
        <f t="shared" si="86"/>
        <v>66.053122900000005</v>
      </c>
      <c r="Q267" s="55">
        <f t="shared" si="86"/>
        <v>66.053122900000005</v>
      </c>
      <c r="R267" s="55">
        <f t="shared" si="86"/>
        <v>66.053122900000005</v>
      </c>
      <c r="S267" s="55">
        <f t="shared" si="86"/>
        <v>66.053122900000005</v>
      </c>
      <c r="T267" s="55">
        <f t="shared" si="86"/>
        <v>66.053122900000005</v>
      </c>
      <c r="U267" s="55">
        <f t="shared" si="86"/>
        <v>0</v>
      </c>
      <c r="V267" s="55">
        <f t="shared" si="86"/>
        <v>0</v>
      </c>
      <c r="W267" s="55">
        <f t="shared" si="86"/>
        <v>0</v>
      </c>
      <c r="X267" s="55">
        <f t="shared" si="86"/>
        <v>0</v>
      </c>
      <c r="Y267" s="55">
        <f t="shared" si="86"/>
        <v>0</v>
      </c>
      <c r="Z267" s="55">
        <f t="shared" si="86"/>
        <v>0</v>
      </c>
      <c r="AA267" s="55">
        <f t="shared" si="86"/>
        <v>0</v>
      </c>
      <c r="AB267" s="55">
        <f t="shared" si="86"/>
        <v>0</v>
      </c>
      <c r="AC267" s="55">
        <f t="shared" si="86"/>
        <v>0</v>
      </c>
      <c r="AD267" s="55">
        <f t="shared" si="86"/>
        <v>0</v>
      </c>
    </row>
    <row r="268" spans="1:30" outlineLevel="1">
      <c r="C268" s="44"/>
      <c r="D268" s="42"/>
      <c r="E268" s="42"/>
      <c r="F268" s="42"/>
      <c r="G268" s="42"/>
      <c r="H268" s="42"/>
      <c r="I268" s="42"/>
      <c r="J268" s="42"/>
      <c r="K268" s="42"/>
      <c r="L268" s="42"/>
      <c r="M268" s="42"/>
      <c r="N268" s="42"/>
      <c r="O268" s="42"/>
      <c r="P268" s="42"/>
      <c r="Q268" s="42"/>
      <c r="R268" s="42"/>
      <c r="S268" s="42"/>
      <c r="T268" s="42"/>
      <c r="U268" s="42"/>
      <c r="V268" s="42"/>
      <c r="W268" s="42"/>
      <c r="X268" s="42"/>
      <c r="Y268" s="42"/>
      <c r="Z268" s="42"/>
      <c r="AA268" s="42"/>
      <c r="AB268" s="42"/>
      <c r="AC268" s="42"/>
      <c r="AD268" s="42"/>
    </row>
    <row r="269" spans="1:30" outlineLevel="1">
      <c r="A269" s="13" t="str">
        <f>A246</f>
        <v>Concentrate's - gold payable</v>
      </c>
      <c r="B269" s="13" t="str">
        <f>B246</f>
        <v>g/t Au</v>
      </c>
      <c r="C269" s="44"/>
      <c r="D269" s="56">
        <f t="shared" ref="D269:AD269" si="87">D246</f>
        <v>0</v>
      </c>
      <c r="E269" s="56">
        <f t="shared" si="87"/>
        <v>0</v>
      </c>
      <c r="F269" s="56">
        <f t="shared" si="87"/>
        <v>5.1633116883116879</v>
      </c>
      <c r="G269" s="56">
        <f t="shared" si="87"/>
        <v>5.1633116883116887</v>
      </c>
      <c r="H269" s="56">
        <f t="shared" si="87"/>
        <v>5.1633116883116887</v>
      </c>
      <c r="I269" s="56">
        <f t="shared" si="87"/>
        <v>5.1633116883116887</v>
      </c>
      <c r="J269" s="56">
        <f t="shared" si="87"/>
        <v>5.1633116883116879</v>
      </c>
      <c r="K269" s="56">
        <f t="shared" si="87"/>
        <v>5.1220876428960249</v>
      </c>
      <c r="L269" s="56">
        <f t="shared" si="87"/>
        <v>5.1004403131115472</v>
      </c>
      <c r="M269" s="56">
        <f t="shared" si="87"/>
        <v>5.1004403131115472</v>
      </c>
      <c r="N269" s="56">
        <f t="shared" si="87"/>
        <v>5.1004403131115472</v>
      </c>
      <c r="O269" s="56">
        <f t="shared" si="87"/>
        <v>5.1004403131115472</v>
      </c>
      <c r="P269" s="56">
        <f t="shared" si="87"/>
        <v>5.1061521462281814</v>
      </c>
      <c r="Q269" s="56">
        <f t="shared" si="87"/>
        <v>5.048571428571428</v>
      </c>
      <c r="R269" s="56">
        <f t="shared" si="87"/>
        <v>5.048571428571428</v>
      </c>
      <c r="S269" s="56">
        <f t="shared" si="87"/>
        <v>5.048571428571428</v>
      </c>
      <c r="T269" s="56">
        <f t="shared" si="87"/>
        <v>5.048571428571428</v>
      </c>
      <c r="U269" s="56">
        <f t="shared" si="87"/>
        <v>0</v>
      </c>
      <c r="V269" s="56">
        <f t="shared" si="87"/>
        <v>0</v>
      </c>
      <c r="W269" s="56">
        <f t="shared" si="87"/>
        <v>0</v>
      </c>
      <c r="X269" s="56">
        <f t="shared" si="87"/>
        <v>0</v>
      </c>
      <c r="Y269" s="56">
        <f t="shared" si="87"/>
        <v>0</v>
      </c>
      <c r="Z269" s="56">
        <f t="shared" si="87"/>
        <v>0</v>
      </c>
      <c r="AA269" s="56">
        <f t="shared" si="87"/>
        <v>0</v>
      </c>
      <c r="AB269" s="56">
        <f t="shared" si="87"/>
        <v>0</v>
      </c>
      <c r="AC269" s="56">
        <f t="shared" si="87"/>
        <v>0</v>
      </c>
      <c r="AD269" s="56">
        <f t="shared" si="87"/>
        <v>0</v>
      </c>
    </row>
    <row r="270" spans="1:30" outlineLevel="1">
      <c r="A270" s="13" t="str">
        <f>A107</f>
        <v>copper conc - gold refining charges - Low Case</v>
      </c>
      <c r="B270" s="13" t="str">
        <f>B107</f>
        <v>US$/oz payable Real</v>
      </c>
      <c r="C270" s="44"/>
      <c r="D270" s="57">
        <f t="shared" ref="D270:AD270" si="88">D107</f>
        <v>5</v>
      </c>
      <c r="E270" s="57">
        <f t="shared" si="88"/>
        <v>5</v>
      </c>
      <c r="F270" s="57">
        <f t="shared" si="88"/>
        <v>5</v>
      </c>
      <c r="G270" s="57">
        <f t="shared" si="88"/>
        <v>5</v>
      </c>
      <c r="H270" s="57">
        <f t="shared" si="88"/>
        <v>5</v>
      </c>
      <c r="I270" s="57">
        <f t="shared" si="88"/>
        <v>5</v>
      </c>
      <c r="J270" s="57">
        <f t="shared" si="88"/>
        <v>5</v>
      </c>
      <c r="K270" s="57">
        <f t="shared" si="88"/>
        <v>5</v>
      </c>
      <c r="L270" s="57">
        <f t="shared" si="88"/>
        <v>5</v>
      </c>
      <c r="M270" s="57">
        <f t="shared" si="88"/>
        <v>5</v>
      </c>
      <c r="N270" s="57">
        <f t="shared" si="88"/>
        <v>5</v>
      </c>
      <c r="O270" s="57">
        <f t="shared" si="88"/>
        <v>5</v>
      </c>
      <c r="P270" s="57">
        <f t="shared" si="88"/>
        <v>5</v>
      </c>
      <c r="Q270" s="57">
        <f t="shared" si="88"/>
        <v>5</v>
      </c>
      <c r="R270" s="57">
        <f t="shared" si="88"/>
        <v>5</v>
      </c>
      <c r="S270" s="57">
        <f t="shared" si="88"/>
        <v>5</v>
      </c>
      <c r="T270" s="57">
        <f t="shared" si="88"/>
        <v>5</v>
      </c>
      <c r="U270" s="57">
        <f t="shared" si="88"/>
        <v>5</v>
      </c>
      <c r="V270" s="57">
        <f t="shared" si="88"/>
        <v>5</v>
      </c>
      <c r="W270" s="57">
        <f t="shared" si="88"/>
        <v>5</v>
      </c>
      <c r="X270" s="57">
        <f t="shared" si="88"/>
        <v>5</v>
      </c>
      <c r="Y270" s="57">
        <f t="shared" si="88"/>
        <v>5</v>
      </c>
      <c r="Z270" s="57">
        <f t="shared" si="88"/>
        <v>5</v>
      </c>
      <c r="AA270" s="57">
        <f t="shared" si="88"/>
        <v>5</v>
      </c>
      <c r="AB270" s="57">
        <f t="shared" si="88"/>
        <v>5</v>
      </c>
      <c r="AC270" s="57">
        <f t="shared" si="88"/>
        <v>5</v>
      </c>
      <c r="AD270" s="57">
        <f t="shared" si="88"/>
        <v>5</v>
      </c>
    </row>
    <row r="271" spans="1:30" s="14" customFormat="1" outlineLevel="1">
      <c r="A271" s="14" t="s">
        <v>68</v>
      </c>
      <c r="B271" s="13" t="s">
        <v>63</v>
      </c>
      <c r="C271" s="92"/>
      <c r="D271" s="55">
        <f t="shared" ref="D271:AD271" si="89">D269/31.1*D270</f>
        <v>0</v>
      </c>
      <c r="E271" s="55">
        <f t="shared" si="89"/>
        <v>0</v>
      </c>
      <c r="F271" s="55">
        <f t="shared" si="89"/>
        <v>0.83011441934271502</v>
      </c>
      <c r="G271" s="55">
        <f t="shared" si="89"/>
        <v>0.83011441934271513</v>
      </c>
      <c r="H271" s="55">
        <f t="shared" si="89"/>
        <v>0.83011441934271513</v>
      </c>
      <c r="I271" s="55">
        <f t="shared" si="89"/>
        <v>0.83011441934271513</v>
      </c>
      <c r="J271" s="55">
        <f t="shared" si="89"/>
        <v>0.83011441934271502</v>
      </c>
      <c r="K271" s="55">
        <f t="shared" si="89"/>
        <v>0.82348675930804249</v>
      </c>
      <c r="L271" s="55">
        <f t="shared" si="89"/>
        <v>0.82000648120764419</v>
      </c>
      <c r="M271" s="55">
        <f t="shared" si="89"/>
        <v>0.82000648120764419</v>
      </c>
      <c r="N271" s="55">
        <f t="shared" si="89"/>
        <v>0.82000648120764419</v>
      </c>
      <c r="O271" s="55">
        <f t="shared" si="89"/>
        <v>0.82000648120764419</v>
      </c>
      <c r="P271" s="55">
        <f t="shared" si="89"/>
        <v>0.82092478235179756</v>
      </c>
      <c r="Q271" s="55">
        <f t="shared" si="89"/>
        <v>0.8116674322462103</v>
      </c>
      <c r="R271" s="55">
        <f t="shared" si="89"/>
        <v>0.8116674322462103</v>
      </c>
      <c r="S271" s="55">
        <f t="shared" si="89"/>
        <v>0.8116674322462103</v>
      </c>
      <c r="T271" s="55">
        <f t="shared" si="89"/>
        <v>0.8116674322462103</v>
      </c>
      <c r="U271" s="55">
        <f t="shared" si="89"/>
        <v>0</v>
      </c>
      <c r="V271" s="55">
        <f t="shared" si="89"/>
        <v>0</v>
      </c>
      <c r="W271" s="55">
        <f t="shared" si="89"/>
        <v>0</v>
      </c>
      <c r="X271" s="55">
        <f t="shared" si="89"/>
        <v>0</v>
      </c>
      <c r="Y271" s="55">
        <f t="shared" si="89"/>
        <v>0</v>
      </c>
      <c r="Z271" s="55">
        <f t="shared" si="89"/>
        <v>0</v>
      </c>
      <c r="AA271" s="55">
        <f t="shared" si="89"/>
        <v>0</v>
      </c>
      <c r="AB271" s="55">
        <f t="shared" si="89"/>
        <v>0</v>
      </c>
      <c r="AC271" s="55">
        <f t="shared" si="89"/>
        <v>0</v>
      </c>
      <c r="AD271" s="55">
        <f t="shared" si="89"/>
        <v>0</v>
      </c>
    </row>
    <row r="272" spans="1:30" outlineLevel="1">
      <c r="C272" s="44"/>
      <c r="D272" s="42"/>
      <c r="E272" s="42"/>
      <c r="F272" s="42"/>
      <c r="G272" s="42"/>
      <c r="H272" s="42"/>
      <c r="I272" s="42"/>
      <c r="J272" s="42"/>
      <c r="K272" s="42"/>
      <c r="L272" s="42"/>
      <c r="M272" s="42"/>
      <c r="N272" s="42"/>
      <c r="O272" s="42"/>
      <c r="P272" s="42"/>
      <c r="Q272" s="42"/>
      <c r="R272" s="42"/>
      <c r="S272" s="42"/>
      <c r="T272" s="42"/>
      <c r="U272" s="42"/>
      <c r="V272" s="42"/>
      <c r="W272" s="42"/>
      <c r="X272" s="42"/>
      <c r="Y272" s="42"/>
      <c r="Z272" s="42"/>
      <c r="AA272" s="42"/>
      <c r="AB272" s="42"/>
      <c r="AC272" s="42"/>
      <c r="AD272" s="42"/>
    </row>
    <row r="273" spans="1:30" outlineLevel="1">
      <c r="A273" s="13" t="str">
        <f>A255</f>
        <v>Copper concentrate - silver payable</v>
      </c>
      <c r="B273" s="13" t="str">
        <f>B255</f>
        <v>g/t Ag</v>
      </c>
      <c r="C273" s="44"/>
      <c r="D273" s="42">
        <f t="shared" ref="D273:AD273" si="90">D255</f>
        <v>0</v>
      </c>
      <c r="E273" s="42">
        <f t="shared" si="90"/>
        <v>0</v>
      </c>
      <c r="F273" s="42">
        <f t="shared" si="90"/>
        <v>20.324675324675319</v>
      </c>
      <c r="G273" s="42">
        <f t="shared" si="90"/>
        <v>20.324675324675326</v>
      </c>
      <c r="H273" s="42">
        <f t="shared" si="90"/>
        <v>20.324675324675326</v>
      </c>
      <c r="I273" s="42">
        <f t="shared" si="90"/>
        <v>20.324675324675326</v>
      </c>
      <c r="J273" s="42">
        <f t="shared" si="90"/>
        <v>20.324675324675312</v>
      </c>
      <c r="K273" s="42">
        <f t="shared" si="90"/>
        <v>2.2439536511392788</v>
      </c>
      <c r="L273" s="42">
        <f t="shared" si="90"/>
        <v>0</v>
      </c>
      <c r="M273" s="42">
        <f t="shared" si="90"/>
        <v>0</v>
      </c>
      <c r="N273" s="42">
        <f t="shared" si="90"/>
        <v>0</v>
      </c>
      <c r="O273" s="42">
        <f t="shared" si="90"/>
        <v>0</v>
      </c>
      <c r="P273" s="42">
        <f t="shared" si="90"/>
        <v>0</v>
      </c>
      <c r="Q273" s="42">
        <f t="shared" si="90"/>
        <v>0</v>
      </c>
      <c r="R273" s="42">
        <f t="shared" si="90"/>
        <v>0</v>
      </c>
      <c r="S273" s="42">
        <f t="shared" si="90"/>
        <v>0</v>
      </c>
      <c r="T273" s="42">
        <f t="shared" si="90"/>
        <v>0</v>
      </c>
      <c r="U273" s="42">
        <f t="shared" si="90"/>
        <v>0</v>
      </c>
      <c r="V273" s="42">
        <f t="shared" si="90"/>
        <v>0</v>
      </c>
      <c r="W273" s="42">
        <f t="shared" si="90"/>
        <v>0</v>
      </c>
      <c r="X273" s="42">
        <f t="shared" si="90"/>
        <v>0</v>
      </c>
      <c r="Y273" s="42">
        <f t="shared" si="90"/>
        <v>0</v>
      </c>
      <c r="Z273" s="42">
        <f t="shared" si="90"/>
        <v>0</v>
      </c>
      <c r="AA273" s="42">
        <f t="shared" si="90"/>
        <v>0</v>
      </c>
      <c r="AB273" s="42">
        <f t="shared" si="90"/>
        <v>0</v>
      </c>
      <c r="AC273" s="42">
        <f t="shared" si="90"/>
        <v>0</v>
      </c>
      <c r="AD273" s="42">
        <f t="shared" si="90"/>
        <v>0</v>
      </c>
    </row>
    <row r="274" spans="1:30" outlineLevel="1">
      <c r="A274" s="13" t="str">
        <f>A108</f>
        <v>copper conc - silver refining charges - Low Case</v>
      </c>
      <c r="B274" s="13" t="str">
        <f>B108</f>
        <v>US$/oz payable Real</v>
      </c>
      <c r="C274" s="44"/>
      <c r="D274" s="57">
        <f t="shared" ref="D274:AD274" si="91">D108</f>
        <v>0.5</v>
      </c>
      <c r="E274" s="57">
        <f t="shared" si="91"/>
        <v>0.5</v>
      </c>
      <c r="F274" s="57">
        <f t="shared" si="91"/>
        <v>0.5</v>
      </c>
      <c r="G274" s="57">
        <f t="shared" si="91"/>
        <v>0.5</v>
      </c>
      <c r="H274" s="57">
        <f t="shared" si="91"/>
        <v>0.5</v>
      </c>
      <c r="I274" s="57">
        <f t="shared" si="91"/>
        <v>0.5</v>
      </c>
      <c r="J274" s="57">
        <f t="shared" si="91"/>
        <v>0.5</v>
      </c>
      <c r="K274" s="57">
        <f t="shared" si="91"/>
        <v>0.5</v>
      </c>
      <c r="L274" s="57">
        <f t="shared" si="91"/>
        <v>0.5</v>
      </c>
      <c r="M274" s="57">
        <f t="shared" si="91"/>
        <v>0.5</v>
      </c>
      <c r="N274" s="57">
        <f t="shared" si="91"/>
        <v>0.5</v>
      </c>
      <c r="O274" s="57">
        <f t="shared" si="91"/>
        <v>0.5</v>
      </c>
      <c r="P274" s="57">
        <f t="shared" si="91"/>
        <v>0.5</v>
      </c>
      <c r="Q274" s="57">
        <f t="shared" si="91"/>
        <v>0.5</v>
      </c>
      <c r="R274" s="57">
        <f t="shared" si="91"/>
        <v>0.5</v>
      </c>
      <c r="S274" s="57">
        <f t="shared" si="91"/>
        <v>0.5</v>
      </c>
      <c r="T274" s="57">
        <f t="shared" si="91"/>
        <v>0.5</v>
      </c>
      <c r="U274" s="57">
        <f t="shared" si="91"/>
        <v>0.5</v>
      </c>
      <c r="V274" s="57">
        <f t="shared" si="91"/>
        <v>0.5</v>
      </c>
      <c r="W274" s="57">
        <f t="shared" si="91"/>
        <v>0.5</v>
      </c>
      <c r="X274" s="57">
        <f t="shared" si="91"/>
        <v>0.5</v>
      </c>
      <c r="Y274" s="57">
        <f t="shared" si="91"/>
        <v>0.5</v>
      </c>
      <c r="Z274" s="57">
        <f t="shared" si="91"/>
        <v>0.5</v>
      </c>
      <c r="AA274" s="57">
        <f t="shared" si="91"/>
        <v>0.5</v>
      </c>
      <c r="AB274" s="57">
        <f t="shared" si="91"/>
        <v>0.5</v>
      </c>
      <c r="AC274" s="57">
        <f t="shared" si="91"/>
        <v>0.5</v>
      </c>
      <c r="AD274" s="57">
        <f t="shared" si="91"/>
        <v>0.5</v>
      </c>
    </row>
    <row r="275" spans="1:30" s="14" customFormat="1" outlineLevel="1">
      <c r="A275" s="14" t="s">
        <v>70</v>
      </c>
      <c r="B275" s="13" t="s">
        <v>63</v>
      </c>
      <c r="C275" s="92"/>
      <c r="D275" s="68">
        <f t="shared" ref="D275:AD275" si="92">D273/31.1*D274</f>
        <v>0</v>
      </c>
      <c r="E275" s="68">
        <f t="shared" si="92"/>
        <v>0</v>
      </c>
      <c r="F275" s="68">
        <f t="shared" si="92"/>
        <v>0.32676326888545526</v>
      </c>
      <c r="G275" s="68">
        <f t="shared" si="92"/>
        <v>0.32676326888545537</v>
      </c>
      <c r="H275" s="68">
        <f t="shared" si="92"/>
        <v>0.32676326888545537</v>
      </c>
      <c r="I275" s="68">
        <f t="shared" si="92"/>
        <v>0.32676326888545537</v>
      </c>
      <c r="J275" s="68">
        <f t="shared" si="92"/>
        <v>0.32676326888545515</v>
      </c>
      <c r="K275" s="68">
        <f t="shared" si="92"/>
        <v>3.6076425259473931E-2</v>
      </c>
      <c r="L275" s="68">
        <f t="shared" si="92"/>
        <v>0</v>
      </c>
      <c r="M275" s="68">
        <f t="shared" si="92"/>
        <v>0</v>
      </c>
      <c r="N275" s="68">
        <f t="shared" si="92"/>
        <v>0</v>
      </c>
      <c r="O275" s="68">
        <f t="shared" si="92"/>
        <v>0</v>
      </c>
      <c r="P275" s="68">
        <f t="shared" si="92"/>
        <v>0</v>
      </c>
      <c r="Q275" s="68">
        <f t="shared" si="92"/>
        <v>0</v>
      </c>
      <c r="R275" s="68">
        <f t="shared" si="92"/>
        <v>0</v>
      </c>
      <c r="S275" s="68">
        <f t="shared" si="92"/>
        <v>0</v>
      </c>
      <c r="T275" s="68">
        <f t="shared" si="92"/>
        <v>0</v>
      </c>
      <c r="U275" s="68">
        <f t="shared" si="92"/>
        <v>0</v>
      </c>
      <c r="V275" s="68">
        <f t="shared" si="92"/>
        <v>0</v>
      </c>
      <c r="W275" s="68">
        <f t="shared" si="92"/>
        <v>0</v>
      </c>
      <c r="X275" s="68">
        <f t="shared" si="92"/>
        <v>0</v>
      </c>
      <c r="Y275" s="68">
        <f t="shared" si="92"/>
        <v>0</v>
      </c>
      <c r="Z275" s="68">
        <f t="shared" si="92"/>
        <v>0</v>
      </c>
      <c r="AA275" s="68">
        <f t="shared" si="92"/>
        <v>0</v>
      </c>
      <c r="AB275" s="68">
        <f t="shared" si="92"/>
        <v>0</v>
      </c>
      <c r="AC275" s="68">
        <f t="shared" si="92"/>
        <v>0</v>
      </c>
      <c r="AD275" s="68">
        <f t="shared" si="92"/>
        <v>0</v>
      </c>
    </row>
    <row r="276" spans="1:30" outlineLevel="1">
      <c r="C276" s="44"/>
      <c r="D276" s="42"/>
      <c r="E276" s="42"/>
      <c r="F276" s="42"/>
      <c r="G276" s="42"/>
      <c r="H276" s="42"/>
      <c r="I276" s="42"/>
      <c r="J276" s="42"/>
      <c r="K276" s="42"/>
      <c r="L276" s="42"/>
      <c r="M276" s="42"/>
      <c r="N276" s="42"/>
      <c r="O276" s="42"/>
      <c r="P276" s="42"/>
      <c r="Q276" s="42"/>
      <c r="R276" s="42"/>
      <c r="S276" s="42"/>
      <c r="T276" s="42"/>
      <c r="U276" s="42"/>
      <c r="V276" s="42"/>
      <c r="W276" s="42"/>
      <c r="X276" s="42"/>
      <c r="Y276" s="42"/>
      <c r="Z276" s="42"/>
      <c r="AA276" s="42"/>
      <c r="AB276" s="42"/>
      <c r="AC276" s="42"/>
      <c r="AD276" s="42"/>
    </row>
    <row r="277" spans="1:30" s="126" customFormat="1" ht="28.75" customHeight="1" outlineLevel="1">
      <c r="A277" s="126" t="s">
        <v>72</v>
      </c>
      <c r="B277" s="32" t="s">
        <v>63</v>
      </c>
      <c r="C277" s="125"/>
      <c r="D277" s="138">
        <f t="shared" ref="D277:AD277" si="93">D263+D267+D271+D275</f>
        <v>0</v>
      </c>
      <c r="E277" s="138">
        <f t="shared" si="93"/>
        <v>0</v>
      </c>
      <c r="F277" s="138">
        <f t="shared" si="93"/>
        <v>167.21000058822818</v>
      </c>
      <c r="G277" s="138">
        <f t="shared" si="93"/>
        <v>167.21000058822818</v>
      </c>
      <c r="H277" s="138">
        <f t="shared" si="93"/>
        <v>167.21000058822818</v>
      </c>
      <c r="I277" s="138">
        <f t="shared" si="93"/>
        <v>167.21000058822818</v>
      </c>
      <c r="J277" s="138">
        <f t="shared" si="93"/>
        <v>167.21000058822818</v>
      </c>
      <c r="K277" s="138">
        <f t="shared" si="93"/>
        <v>166.91268608456753</v>
      </c>
      <c r="L277" s="138">
        <f t="shared" si="93"/>
        <v>166.87312938120766</v>
      </c>
      <c r="M277" s="138">
        <f t="shared" si="93"/>
        <v>166.87312938120766</v>
      </c>
      <c r="N277" s="138">
        <f t="shared" si="93"/>
        <v>166.87312938120766</v>
      </c>
      <c r="O277" s="138">
        <f t="shared" si="93"/>
        <v>166.87312938120766</v>
      </c>
      <c r="P277" s="138">
        <f t="shared" si="93"/>
        <v>166.8740476823518</v>
      </c>
      <c r="Q277" s="138">
        <f t="shared" si="93"/>
        <v>166.86479033224623</v>
      </c>
      <c r="R277" s="138">
        <f t="shared" si="93"/>
        <v>166.86479033224623</v>
      </c>
      <c r="S277" s="138">
        <f t="shared" si="93"/>
        <v>166.86479033224623</v>
      </c>
      <c r="T277" s="138">
        <f t="shared" si="93"/>
        <v>166.86479033224623</v>
      </c>
      <c r="U277" s="138">
        <f t="shared" si="93"/>
        <v>0</v>
      </c>
      <c r="V277" s="138">
        <f t="shared" si="93"/>
        <v>0</v>
      </c>
      <c r="W277" s="138">
        <f t="shared" si="93"/>
        <v>0</v>
      </c>
      <c r="X277" s="138">
        <f t="shared" si="93"/>
        <v>0</v>
      </c>
      <c r="Y277" s="138">
        <f t="shared" si="93"/>
        <v>0</v>
      </c>
      <c r="Z277" s="138">
        <f t="shared" si="93"/>
        <v>0</v>
      </c>
      <c r="AA277" s="138">
        <f t="shared" si="93"/>
        <v>0</v>
      </c>
      <c r="AB277" s="138">
        <f t="shared" si="93"/>
        <v>0</v>
      </c>
      <c r="AC277" s="138">
        <f t="shared" si="93"/>
        <v>0</v>
      </c>
      <c r="AD277" s="138">
        <f t="shared" si="93"/>
        <v>0</v>
      </c>
    </row>
    <row r="278" spans="1:30" s="14" customFormat="1" outlineLevel="1">
      <c r="B278" s="13"/>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c r="AA278" s="44"/>
      <c r="AB278" s="44"/>
      <c r="AC278" s="44"/>
      <c r="AD278" s="44"/>
    </row>
    <row r="279" spans="1:30" outlineLevel="1">
      <c r="A279" s="50" t="s">
        <v>74</v>
      </c>
      <c r="C279" s="44"/>
      <c r="D279" s="42"/>
      <c r="E279" s="42"/>
      <c r="F279" s="42"/>
      <c r="G279" s="42"/>
      <c r="H279" s="42"/>
      <c r="I279" s="42"/>
      <c r="J279" s="42"/>
      <c r="K279" s="42"/>
      <c r="L279" s="42"/>
      <c r="M279" s="42"/>
      <c r="N279" s="42"/>
      <c r="O279" s="42"/>
      <c r="P279" s="42"/>
      <c r="Q279" s="42"/>
      <c r="R279" s="42"/>
      <c r="S279" s="42"/>
      <c r="T279" s="42"/>
      <c r="U279" s="42"/>
      <c r="V279" s="42"/>
      <c r="W279" s="42"/>
      <c r="X279" s="42"/>
      <c r="Y279" s="42"/>
      <c r="Z279" s="42"/>
      <c r="AA279" s="42"/>
      <c r="AB279" s="42"/>
      <c r="AC279" s="42"/>
      <c r="AD279" s="42"/>
    </row>
    <row r="280" spans="1:30" s="126" customFormat="1" ht="28.75" customHeight="1" outlineLevel="1">
      <c r="A280" s="124" t="s">
        <v>73</v>
      </c>
      <c r="B280" s="32" t="s">
        <v>63</v>
      </c>
      <c r="C280" s="125"/>
      <c r="D280" s="137">
        <f t="shared" ref="D280:AD280" si="94">D259-D277</f>
        <v>0</v>
      </c>
      <c r="E280" s="137">
        <f t="shared" si="94"/>
        <v>0</v>
      </c>
      <c r="F280" s="137">
        <f t="shared" si="94"/>
        <v>2410.0217901588589</v>
      </c>
      <c r="G280" s="137">
        <f t="shared" si="94"/>
        <v>2410.0217901588589</v>
      </c>
      <c r="H280" s="137">
        <f t="shared" si="94"/>
        <v>2410.0217901588589</v>
      </c>
      <c r="I280" s="137">
        <f t="shared" si="94"/>
        <v>2410.0217901588589</v>
      </c>
      <c r="J280" s="137">
        <f t="shared" si="94"/>
        <v>2410.0217901588589</v>
      </c>
      <c r="K280" s="137">
        <f t="shared" si="94"/>
        <v>2393.7964644708181</v>
      </c>
      <c r="L280" s="137">
        <f t="shared" si="94"/>
        <v>2390.9881164810854</v>
      </c>
      <c r="M280" s="137">
        <f t="shared" si="94"/>
        <v>2390.9881164810854</v>
      </c>
      <c r="N280" s="137">
        <f t="shared" si="94"/>
        <v>2390.9881164810854</v>
      </c>
      <c r="O280" s="137">
        <f t="shared" si="94"/>
        <v>2390.9881164810854</v>
      </c>
      <c r="P280" s="137">
        <f t="shared" si="94"/>
        <v>2391.2626885231871</v>
      </c>
      <c r="Q280" s="137">
        <f t="shared" si="94"/>
        <v>2388.4947408416165</v>
      </c>
      <c r="R280" s="137">
        <f t="shared" si="94"/>
        <v>2388.4947408416165</v>
      </c>
      <c r="S280" s="137">
        <f t="shared" si="94"/>
        <v>2388.4947408416165</v>
      </c>
      <c r="T280" s="137">
        <f t="shared" si="94"/>
        <v>2388.4947408416165</v>
      </c>
      <c r="U280" s="137">
        <f t="shared" si="94"/>
        <v>0</v>
      </c>
      <c r="V280" s="137">
        <f t="shared" si="94"/>
        <v>0</v>
      </c>
      <c r="W280" s="137">
        <f t="shared" si="94"/>
        <v>0</v>
      </c>
      <c r="X280" s="137">
        <f t="shared" si="94"/>
        <v>0</v>
      </c>
      <c r="Y280" s="137">
        <f t="shared" si="94"/>
        <v>0</v>
      </c>
      <c r="Z280" s="137">
        <f t="shared" si="94"/>
        <v>0</v>
      </c>
      <c r="AA280" s="137">
        <f t="shared" si="94"/>
        <v>0</v>
      </c>
      <c r="AB280" s="137">
        <f t="shared" si="94"/>
        <v>0</v>
      </c>
      <c r="AC280" s="137">
        <f t="shared" si="94"/>
        <v>0</v>
      </c>
      <c r="AD280" s="137">
        <f t="shared" si="94"/>
        <v>0</v>
      </c>
    </row>
    <row r="281" spans="1:30" s="14" customFormat="1" outlineLevel="1">
      <c r="A281" s="13" t="s">
        <v>79</v>
      </c>
      <c r="B281" s="13"/>
      <c r="C281" s="93"/>
      <c r="D281" s="44"/>
      <c r="E281" s="44"/>
      <c r="F281" s="44"/>
      <c r="G281" s="44"/>
      <c r="H281" s="44"/>
      <c r="I281" s="44"/>
      <c r="J281" s="44"/>
      <c r="K281" s="44"/>
      <c r="L281" s="44"/>
      <c r="M281" s="44"/>
      <c r="N281" s="44"/>
      <c r="O281" s="44"/>
      <c r="P281" s="44"/>
      <c r="Q281" s="44"/>
      <c r="R281" s="44"/>
      <c r="S281" s="44"/>
      <c r="T281" s="44"/>
      <c r="U281" s="44"/>
      <c r="V281" s="44"/>
      <c r="W281" s="44"/>
      <c r="X281" s="44"/>
      <c r="Y281" s="44"/>
      <c r="Z281" s="44"/>
      <c r="AA281" s="44"/>
      <c r="AB281" s="44"/>
      <c r="AC281" s="44"/>
      <c r="AD281" s="44"/>
    </row>
    <row r="282" spans="1:30" outlineLevel="1">
      <c r="A282" s="13" t="s">
        <v>76</v>
      </c>
      <c r="B282" s="13" t="s">
        <v>63</v>
      </c>
      <c r="C282" s="93"/>
      <c r="D282" s="42">
        <f t="shared" ref="D282:AD282" si="95">D228-D263-D267</f>
        <v>0</v>
      </c>
      <c r="E282" s="42">
        <f t="shared" si="95"/>
        <v>0</v>
      </c>
      <c r="F282" s="42">
        <f t="shared" si="95"/>
        <v>2145.8061785999998</v>
      </c>
      <c r="G282" s="42">
        <f t="shared" si="95"/>
        <v>2145.8061785999998</v>
      </c>
      <c r="H282" s="42">
        <f t="shared" si="95"/>
        <v>2145.8061785999998</v>
      </c>
      <c r="I282" s="42">
        <f t="shared" si="95"/>
        <v>2145.8061785999998</v>
      </c>
      <c r="J282" s="42">
        <f t="shared" si="95"/>
        <v>2145.8061785999998</v>
      </c>
      <c r="K282" s="42">
        <f t="shared" si="95"/>
        <v>2145.8061785999998</v>
      </c>
      <c r="L282" s="42">
        <f t="shared" si="95"/>
        <v>2145.8061785999998</v>
      </c>
      <c r="M282" s="42">
        <f t="shared" si="95"/>
        <v>2145.8061785999998</v>
      </c>
      <c r="N282" s="42">
        <f t="shared" si="95"/>
        <v>2145.8061785999998</v>
      </c>
      <c r="O282" s="42">
        <f t="shared" si="95"/>
        <v>2145.8061785999998</v>
      </c>
      <c r="P282" s="42">
        <f t="shared" si="95"/>
        <v>2145.8061785999998</v>
      </c>
      <c r="Q282" s="42">
        <f t="shared" si="95"/>
        <v>2145.8061785999998</v>
      </c>
      <c r="R282" s="42">
        <f t="shared" si="95"/>
        <v>2145.8061785999998</v>
      </c>
      <c r="S282" s="42">
        <f t="shared" si="95"/>
        <v>2145.8061785999998</v>
      </c>
      <c r="T282" s="42">
        <f t="shared" si="95"/>
        <v>2145.8061785999998</v>
      </c>
      <c r="U282" s="42">
        <f t="shared" si="95"/>
        <v>0</v>
      </c>
      <c r="V282" s="42">
        <f t="shared" si="95"/>
        <v>0</v>
      </c>
      <c r="W282" s="42">
        <f t="shared" si="95"/>
        <v>0</v>
      </c>
      <c r="X282" s="42">
        <f t="shared" si="95"/>
        <v>0</v>
      </c>
      <c r="Y282" s="42">
        <f t="shared" si="95"/>
        <v>0</v>
      </c>
      <c r="Z282" s="42">
        <f t="shared" si="95"/>
        <v>0</v>
      </c>
      <c r="AA282" s="42">
        <f t="shared" si="95"/>
        <v>0</v>
      </c>
      <c r="AB282" s="42">
        <f t="shared" si="95"/>
        <v>0</v>
      </c>
      <c r="AC282" s="42">
        <f t="shared" si="95"/>
        <v>0</v>
      </c>
      <c r="AD282" s="42">
        <f t="shared" si="95"/>
        <v>0</v>
      </c>
    </row>
    <row r="283" spans="1:30" outlineLevel="1">
      <c r="A283" s="13" t="s">
        <v>77</v>
      </c>
      <c r="B283" s="13" t="s">
        <v>63</v>
      </c>
      <c r="C283" s="93"/>
      <c r="D283" s="42">
        <f t="shared" ref="D283:AD283" si="96">D248-D271</f>
        <v>0</v>
      </c>
      <c r="E283" s="42">
        <f t="shared" si="96"/>
        <v>0</v>
      </c>
      <c r="F283" s="42">
        <f t="shared" si="96"/>
        <v>248.20421138347177</v>
      </c>
      <c r="G283" s="42">
        <f t="shared" si="96"/>
        <v>248.20421138347183</v>
      </c>
      <c r="H283" s="42">
        <f t="shared" si="96"/>
        <v>248.20421138347183</v>
      </c>
      <c r="I283" s="42">
        <f t="shared" si="96"/>
        <v>248.20421138347183</v>
      </c>
      <c r="J283" s="42">
        <f t="shared" si="96"/>
        <v>248.20421138347177</v>
      </c>
      <c r="K283" s="42">
        <f t="shared" si="96"/>
        <v>246.2225410331047</v>
      </c>
      <c r="L283" s="42">
        <f t="shared" si="96"/>
        <v>245.18193788108562</v>
      </c>
      <c r="M283" s="42">
        <f t="shared" si="96"/>
        <v>245.18193788108562</v>
      </c>
      <c r="N283" s="42">
        <f t="shared" si="96"/>
        <v>245.18193788108562</v>
      </c>
      <c r="O283" s="42">
        <f t="shared" si="96"/>
        <v>245.18193788108562</v>
      </c>
      <c r="P283" s="42">
        <f t="shared" si="96"/>
        <v>245.4565099231875</v>
      </c>
      <c r="Q283" s="42">
        <f t="shared" si="96"/>
        <v>242.68856224161686</v>
      </c>
      <c r="R283" s="42">
        <f t="shared" si="96"/>
        <v>242.68856224161686</v>
      </c>
      <c r="S283" s="42">
        <f t="shared" si="96"/>
        <v>242.68856224161686</v>
      </c>
      <c r="T283" s="42">
        <f t="shared" si="96"/>
        <v>242.68856224161686</v>
      </c>
      <c r="U283" s="42">
        <f t="shared" si="96"/>
        <v>0</v>
      </c>
      <c r="V283" s="42">
        <f t="shared" si="96"/>
        <v>0</v>
      </c>
      <c r="W283" s="42">
        <f t="shared" si="96"/>
        <v>0</v>
      </c>
      <c r="X283" s="42">
        <f t="shared" si="96"/>
        <v>0</v>
      </c>
      <c r="Y283" s="42">
        <f t="shared" si="96"/>
        <v>0</v>
      </c>
      <c r="Z283" s="42">
        <f t="shared" si="96"/>
        <v>0</v>
      </c>
      <c r="AA283" s="42">
        <f t="shared" si="96"/>
        <v>0</v>
      </c>
      <c r="AB283" s="42">
        <f t="shared" si="96"/>
        <v>0</v>
      </c>
      <c r="AC283" s="42">
        <f t="shared" si="96"/>
        <v>0</v>
      </c>
      <c r="AD283" s="42">
        <f t="shared" si="96"/>
        <v>0</v>
      </c>
    </row>
    <row r="284" spans="1:30" outlineLevel="1">
      <c r="A284" s="13" t="s">
        <v>78</v>
      </c>
      <c r="B284" s="13" t="s">
        <v>63</v>
      </c>
      <c r="C284" s="93"/>
      <c r="D284" s="42">
        <f t="shared" ref="D284:AD284" si="97">D257-D275</f>
        <v>0</v>
      </c>
      <c r="E284" s="42">
        <f t="shared" si="97"/>
        <v>0</v>
      </c>
      <c r="F284" s="42">
        <f t="shared" si="97"/>
        <v>16.011400175387308</v>
      </c>
      <c r="G284" s="42">
        <f t="shared" si="97"/>
        <v>16.011400175387315</v>
      </c>
      <c r="H284" s="42">
        <f t="shared" si="97"/>
        <v>16.011400175387315</v>
      </c>
      <c r="I284" s="42">
        <f t="shared" si="97"/>
        <v>16.011400175387315</v>
      </c>
      <c r="J284" s="42">
        <f t="shared" si="97"/>
        <v>16.011400175387305</v>
      </c>
      <c r="K284" s="42">
        <f t="shared" si="97"/>
        <v>1.7677448377142226</v>
      </c>
      <c r="L284" s="42">
        <f t="shared" si="97"/>
        <v>0</v>
      </c>
      <c r="M284" s="42">
        <f t="shared" si="97"/>
        <v>0</v>
      </c>
      <c r="N284" s="42">
        <f t="shared" si="97"/>
        <v>0</v>
      </c>
      <c r="O284" s="42">
        <f t="shared" si="97"/>
        <v>0</v>
      </c>
      <c r="P284" s="42">
        <f t="shared" si="97"/>
        <v>0</v>
      </c>
      <c r="Q284" s="42">
        <f t="shared" si="97"/>
        <v>0</v>
      </c>
      <c r="R284" s="42">
        <f t="shared" si="97"/>
        <v>0</v>
      </c>
      <c r="S284" s="42">
        <f t="shared" si="97"/>
        <v>0</v>
      </c>
      <c r="T284" s="42">
        <f t="shared" si="97"/>
        <v>0</v>
      </c>
      <c r="U284" s="42">
        <f t="shared" si="97"/>
        <v>0</v>
      </c>
      <c r="V284" s="42">
        <f t="shared" si="97"/>
        <v>0</v>
      </c>
      <c r="W284" s="42">
        <f t="shared" si="97"/>
        <v>0</v>
      </c>
      <c r="X284" s="42">
        <f t="shared" si="97"/>
        <v>0</v>
      </c>
      <c r="Y284" s="42">
        <f t="shared" si="97"/>
        <v>0</v>
      </c>
      <c r="Z284" s="42">
        <f t="shared" si="97"/>
        <v>0</v>
      </c>
      <c r="AA284" s="42">
        <f t="shared" si="97"/>
        <v>0</v>
      </c>
      <c r="AB284" s="42">
        <f t="shared" si="97"/>
        <v>0</v>
      </c>
      <c r="AC284" s="42">
        <f t="shared" si="97"/>
        <v>0</v>
      </c>
      <c r="AD284" s="42">
        <f t="shared" si="97"/>
        <v>0</v>
      </c>
    </row>
    <row r="285" spans="1:30" ht="18" customHeight="1">
      <c r="C285" s="44"/>
      <c r="D285" s="42"/>
      <c r="E285" s="42"/>
      <c r="F285" s="42"/>
      <c r="G285" s="42"/>
      <c r="H285" s="42"/>
      <c r="I285" s="42"/>
      <c r="J285" s="42"/>
      <c r="K285" s="42"/>
      <c r="L285" s="42"/>
      <c r="M285" s="42"/>
      <c r="N285" s="42"/>
      <c r="O285" s="42"/>
      <c r="P285" s="42"/>
      <c r="Q285" s="42"/>
      <c r="R285" s="42"/>
      <c r="S285" s="42"/>
      <c r="T285" s="42"/>
      <c r="U285" s="42"/>
      <c r="V285" s="42"/>
      <c r="W285" s="42"/>
      <c r="X285" s="42"/>
      <c r="Y285" s="42"/>
      <c r="Z285" s="42"/>
      <c r="AA285" s="42"/>
      <c r="AB285" s="42"/>
      <c r="AC285" s="42"/>
      <c r="AD285" s="42"/>
    </row>
    <row r="286" spans="1:30" ht="33" customHeight="1" outlineLevel="1">
      <c r="A286" s="24" t="s">
        <v>203</v>
      </c>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row>
    <row r="287" spans="1:30" outlineLevel="1">
      <c r="A287" s="45" t="s">
        <v>104</v>
      </c>
      <c r="B287" s="13" t="s">
        <v>99</v>
      </c>
      <c r="C287" s="38"/>
      <c r="D287" s="47">
        <f t="shared" ref="D287:AD287" si="98">IF(D178=0,0,D177)</f>
        <v>0</v>
      </c>
      <c r="E287" s="47">
        <f t="shared" si="98"/>
        <v>0</v>
      </c>
      <c r="F287" s="47">
        <f t="shared" si="98"/>
        <v>0.55000000000000004</v>
      </c>
      <c r="G287" s="47">
        <f t="shared" si="98"/>
        <v>0.55000000000000004</v>
      </c>
      <c r="H287" s="47">
        <f t="shared" si="98"/>
        <v>0.55000000000000004</v>
      </c>
      <c r="I287" s="47">
        <f t="shared" si="98"/>
        <v>0.55000000000000004</v>
      </c>
      <c r="J287" s="47">
        <f t="shared" si="98"/>
        <v>0.55000000000000004</v>
      </c>
      <c r="K287" s="47">
        <f t="shared" si="98"/>
        <v>0.55000000000000004</v>
      </c>
      <c r="L287" s="47">
        <f t="shared" si="98"/>
        <v>0.55000000000000004</v>
      </c>
      <c r="M287" s="47">
        <f t="shared" si="98"/>
        <v>0.55000000000000004</v>
      </c>
      <c r="N287" s="47">
        <f t="shared" si="98"/>
        <v>0.55000000000000004</v>
      </c>
      <c r="O287" s="47">
        <f t="shared" si="98"/>
        <v>0.55000000000000004</v>
      </c>
      <c r="P287" s="47">
        <f t="shared" si="98"/>
        <v>0.55000000000000004</v>
      </c>
      <c r="Q287" s="47">
        <f t="shared" si="98"/>
        <v>0</v>
      </c>
      <c r="R287" s="47">
        <f t="shared" si="98"/>
        <v>0</v>
      </c>
      <c r="S287" s="47">
        <f t="shared" si="98"/>
        <v>0</v>
      </c>
      <c r="T287" s="47">
        <f t="shared" si="98"/>
        <v>0</v>
      </c>
      <c r="U287" s="47">
        <f t="shared" si="98"/>
        <v>0</v>
      </c>
      <c r="V287" s="47">
        <f t="shared" si="98"/>
        <v>0</v>
      </c>
      <c r="W287" s="47">
        <f t="shared" si="98"/>
        <v>0</v>
      </c>
      <c r="X287" s="47">
        <f t="shared" si="98"/>
        <v>0</v>
      </c>
      <c r="Y287" s="47">
        <f t="shared" si="98"/>
        <v>0</v>
      </c>
      <c r="Z287" s="47">
        <f t="shared" si="98"/>
        <v>0</v>
      </c>
      <c r="AA287" s="47">
        <f t="shared" si="98"/>
        <v>0</v>
      </c>
      <c r="AB287" s="47">
        <f t="shared" si="98"/>
        <v>0</v>
      </c>
      <c r="AC287" s="47">
        <f t="shared" si="98"/>
        <v>0</v>
      </c>
      <c r="AD287" s="47">
        <f t="shared" si="98"/>
        <v>0</v>
      </c>
    </row>
    <row r="288" spans="1:30" s="134" customFormat="1" outlineLevel="1">
      <c r="A288" s="63" t="str">
        <f>'Expected NPV &amp; Common Data'!A70</f>
        <v>28 Nov 2025 M McKenzie email: Mo concentrate price = 83% of contained Mo.   (varies between 80% and 85%)</v>
      </c>
      <c r="B288" s="63"/>
      <c r="C288" s="63"/>
      <c r="D288" s="264"/>
      <c r="E288" s="264"/>
      <c r="F288" s="264"/>
      <c r="G288" s="264"/>
      <c r="H288" s="264"/>
      <c r="I288" s="264"/>
      <c r="J288" s="264"/>
      <c r="K288" s="264"/>
      <c r="L288" s="264"/>
      <c r="M288" s="264"/>
      <c r="N288" s="264"/>
      <c r="O288" s="264"/>
      <c r="P288" s="264"/>
      <c r="Q288" s="264"/>
      <c r="R288" s="264"/>
      <c r="S288" s="264"/>
      <c r="T288" s="264"/>
      <c r="U288" s="264"/>
      <c r="V288" s="264"/>
      <c r="W288" s="264"/>
      <c r="X288" s="264"/>
      <c r="Y288" s="264"/>
      <c r="Z288" s="264"/>
      <c r="AA288" s="264"/>
      <c r="AB288" s="264"/>
      <c r="AC288" s="264"/>
      <c r="AD288" s="264"/>
    </row>
    <row r="289" spans="1:30" outlineLevel="1">
      <c r="A289" s="247" t="str">
        <f>'Expected NPV &amp; Common Data'!A71</f>
        <v>moly conc - payable</v>
      </c>
      <c r="B289" s="247" t="str">
        <f>'Expected NPV &amp; Common Data'!B71</f>
        <v>% of contained Mo</v>
      </c>
      <c r="C289" s="247"/>
      <c r="D289" s="263">
        <f>'Expected NPV &amp; Common Data'!D71</f>
        <v>0.83</v>
      </c>
      <c r="E289" s="263">
        <f>'Expected NPV &amp; Common Data'!E71</f>
        <v>0.83</v>
      </c>
      <c r="F289" s="263">
        <f>'Expected NPV &amp; Common Data'!F71</f>
        <v>0.83</v>
      </c>
      <c r="G289" s="263">
        <f>'Expected NPV &amp; Common Data'!G71</f>
        <v>0.83</v>
      </c>
      <c r="H289" s="263">
        <f>'Expected NPV &amp; Common Data'!H71</f>
        <v>0.83</v>
      </c>
      <c r="I289" s="263">
        <f>'Expected NPV &amp; Common Data'!I71</f>
        <v>0.83</v>
      </c>
      <c r="J289" s="263">
        <f>'Expected NPV &amp; Common Data'!J71</f>
        <v>0.83</v>
      </c>
      <c r="K289" s="263">
        <f>'Expected NPV &amp; Common Data'!K71</f>
        <v>0.83</v>
      </c>
      <c r="L289" s="263">
        <f>'Expected NPV &amp; Common Data'!L71</f>
        <v>0.83</v>
      </c>
      <c r="M289" s="263">
        <f>'Expected NPV &amp; Common Data'!M71</f>
        <v>0.83</v>
      </c>
      <c r="N289" s="263">
        <f>'Expected NPV &amp; Common Data'!N71</f>
        <v>0.83</v>
      </c>
      <c r="O289" s="263">
        <f>'Expected NPV &amp; Common Data'!O71</f>
        <v>0.83</v>
      </c>
      <c r="P289" s="263">
        <f>'Expected NPV &amp; Common Data'!P71</f>
        <v>0.83</v>
      </c>
      <c r="Q289" s="263">
        <f>'Expected NPV &amp; Common Data'!Q71</f>
        <v>0.83</v>
      </c>
      <c r="R289" s="263">
        <f>'Expected NPV &amp; Common Data'!R71</f>
        <v>0.83</v>
      </c>
      <c r="S289" s="263">
        <f>'Expected NPV &amp; Common Data'!S71</f>
        <v>0.83</v>
      </c>
      <c r="T289" s="263">
        <f>'Expected NPV &amp; Common Data'!T71</f>
        <v>0.83</v>
      </c>
      <c r="U289" s="263">
        <f>'Expected NPV &amp; Common Data'!U71</f>
        <v>0.83</v>
      </c>
      <c r="V289" s="263">
        <f>'Expected NPV &amp; Common Data'!V71</f>
        <v>0.83</v>
      </c>
      <c r="W289" s="263">
        <f>'Expected NPV &amp; Common Data'!W71</f>
        <v>0.83</v>
      </c>
      <c r="X289" s="263">
        <f>'Expected NPV &amp; Common Data'!X71</f>
        <v>0.83</v>
      </c>
      <c r="Y289" s="263">
        <f>'Expected NPV &amp; Common Data'!Y71</f>
        <v>0.83</v>
      </c>
      <c r="Z289" s="263">
        <f>'Expected NPV &amp; Common Data'!Z71</f>
        <v>0.83</v>
      </c>
      <c r="AA289" s="263">
        <f>'Expected NPV &amp; Common Data'!AA71</f>
        <v>0.83</v>
      </c>
      <c r="AB289" s="263">
        <f>'Expected NPV &amp; Common Data'!AB71</f>
        <v>0.83</v>
      </c>
      <c r="AC289" s="263">
        <f>'Expected NPV &amp; Common Data'!AC71</f>
        <v>0.83</v>
      </c>
      <c r="AD289" s="263">
        <f>'Expected NPV &amp; Common Data'!AD71</f>
        <v>0.83</v>
      </c>
    </row>
    <row r="290" spans="1:30" outlineLevel="1">
      <c r="A290" s="45" t="s">
        <v>118</v>
      </c>
      <c r="B290" s="13" t="s">
        <v>63</v>
      </c>
      <c r="C290" s="38"/>
      <c r="D290" s="47">
        <f t="shared" ref="D290:AD290" si="99">D287*D289</f>
        <v>0</v>
      </c>
      <c r="E290" s="47">
        <f t="shared" si="99"/>
        <v>0</v>
      </c>
      <c r="F290" s="47">
        <f t="shared" si="99"/>
        <v>0.45650000000000002</v>
      </c>
      <c r="G290" s="47">
        <f t="shared" si="99"/>
        <v>0.45650000000000002</v>
      </c>
      <c r="H290" s="47">
        <f t="shared" si="99"/>
        <v>0.45650000000000002</v>
      </c>
      <c r="I290" s="47">
        <f t="shared" si="99"/>
        <v>0.45650000000000002</v>
      </c>
      <c r="J290" s="47">
        <f t="shared" si="99"/>
        <v>0.45650000000000002</v>
      </c>
      <c r="K290" s="47">
        <f t="shared" si="99"/>
        <v>0.45650000000000002</v>
      </c>
      <c r="L290" s="47">
        <f t="shared" si="99"/>
        <v>0.45650000000000002</v>
      </c>
      <c r="M290" s="47">
        <f t="shared" si="99"/>
        <v>0.45650000000000002</v>
      </c>
      <c r="N290" s="47">
        <f t="shared" si="99"/>
        <v>0.45650000000000002</v>
      </c>
      <c r="O290" s="47">
        <f t="shared" si="99"/>
        <v>0.45650000000000002</v>
      </c>
      <c r="P290" s="47">
        <f t="shared" si="99"/>
        <v>0.45650000000000002</v>
      </c>
      <c r="Q290" s="47">
        <f t="shared" si="99"/>
        <v>0</v>
      </c>
      <c r="R290" s="47">
        <f t="shared" si="99"/>
        <v>0</v>
      </c>
      <c r="S290" s="47">
        <f t="shared" si="99"/>
        <v>0</v>
      </c>
      <c r="T290" s="47">
        <f t="shared" si="99"/>
        <v>0</v>
      </c>
      <c r="U290" s="47">
        <f t="shared" si="99"/>
        <v>0</v>
      </c>
      <c r="V290" s="47">
        <f t="shared" si="99"/>
        <v>0</v>
      </c>
      <c r="W290" s="47">
        <f t="shared" si="99"/>
        <v>0</v>
      </c>
      <c r="X290" s="47">
        <f t="shared" si="99"/>
        <v>0</v>
      </c>
      <c r="Y290" s="47">
        <f t="shared" si="99"/>
        <v>0</v>
      </c>
      <c r="Z290" s="47">
        <f t="shared" si="99"/>
        <v>0</v>
      </c>
      <c r="AA290" s="47">
        <f t="shared" si="99"/>
        <v>0</v>
      </c>
      <c r="AB290" s="47">
        <f t="shared" si="99"/>
        <v>0</v>
      </c>
      <c r="AC290" s="47">
        <f t="shared" si="99"/>
        <v>0</v>
      </c>
      <c r="AD290" s="47">
        <f t="shared" si="99"/>
        <v>0</v>
      </c>
    </row>
    <row r="291" spans="1:30" outlineLevel="1">
      <c r="A291" s="13" t="str">
        <f>A103</f>
        <v>Moly price forecast - Low Case</v>
      </c>
      <c r="B291" s="13" t="str">
        <f>B103</f>
        <v>US$/ lb real</v>
      </c>
      <c r="C291" s="44"/>
      <c r="D291" s="57">
        <f t="shared" ref="D291:AD291" si="100">D103</f>
        <v>20</v>
      </c>
      <c r="E291" s="57">
        <f t="shared" si="100"/>
        <v>20</v>
      </c>
      <c r="F291" s="57">
        <f t="shared" si="100"/>
        <v>20</v>
      </c>
      <c r="G291" s="57">
        <f t="shared" si="100"/>
        <v>20</v>
      </c>
      <c r="H291" s="57">
        <f t="shared" si="100"/>
        <v>20</v>
      </c>
      <c r="I291" s="57">
        <f t="shared" si="100"/>
        <v>20</v>
      </c>
      <c r="J291" s="57">
        <f t="shared" si="100"/>
        <v>20</v>
      </c>
      <c r="K291" s="57">
        <f t="shared" si="100"/>
        <v>20</v>
      </c>
      <c r="L291" s="57">
        <f t="shared" si="100"/>
        <v>20</v>
      </c>
      <c r="M291" s="57">
        <f t="shared" si="100"/>
        <v>20</v>
      </c>
      <c r="N291" s="57">
        <f t="shared" si="100"/>
        <v>20</v>
      </c>
      <c r="O291" s="57">
        <f t="shared" si="100"/>
        <v>20</v>
      </c>
      <c r="P291" s="57">
        <f t="shared" si="100"/>
        <v>20</v>
      </c>
      <c r="Q291" s="57">
        <f t="shared" si="100"/>
        <v>20</v>
      </c>
      <c r="R291" s="57">
        <f t="shared" si="100"/>
        <v>20</v>
      </c>
      <c r="S291" s="57">
        <f t="shared" si="100"/>
        <v>20</v>
      </c>
      <c r="T291" s="57">
        <f t="shared" si="100"/>
        <v>20</v>
      </c>
      <c r="U291" s="57">
        <f t="shared" si="100"/>
        <v>20</v>
      </c>
      <c r="V291" s="57">
        <f t="shared" si="100"/>
        <v>20</v>
      </c>
      <c r="W291" s="57">
        <f t="shared" si="100"/>
        <v>20</v>
      </c>
      <c r="X291" s="57">
        <f t="shared" si="100"/>
        <v>20</v>
      </c>
      <c r="Y291" s="57">
        <f t="shared" si="100"/>
        <v>20</v>
      </c>
      <c r="Z291" s="57">
        <f t="shared" si="100"/>
        <v>20</v>
      </c>
      <c r="AA291" s="57">
        <f t="shared" si="100"/>
        <v>20</v>
      </c>
      <c r="AB291" s="57">
        <f t="shared" si="100"/>
        <v>20</v>
      </c>
      <c r="AC291" s="57">
        <f t="shared" si="100"/>
        <v>20</v>
      </c>
      <c r="AD291" s="57">
        <f t="shared" si="100"/>
        <v>20</v>
      </c>
    </row>
    <row r="292" spans="1:30" s="14" customFormat="1" outlineLevel="1">
      <c r="A292" s="14" t="s">
        <v>120</v>
      </c>
      <c r="B292" s="13" t="s">
        <v>63</v>
      </c>
      <c r="C292" s="44"/>
      <c r="D292" s="48">
        <f t="shared" ref="D292:AD292" si="101">D290*D291*2204.6</f>
        <v>0</v>
      </c>
      <c r="E292" s="48">
        <f t="shared" si="101"/>
        <v>0</v>
      </c>
      <c r="F292" s="48">
        <f t="shared" si="101"/>
        <v>20127.998</v>
      </c>
      <c r="G292" s="48">
        <f t="shared" si="101"/>
        <v>20127.998</v>
      </c>
      <c r="H292" s="48">
        <f t="shared" si="101"/>
        <v>20127.998</v>
      </c>
      <c r="I292" s="48">
        <f t="shared" si="101"/>
        <v>20127.998</v>
      </c>
      <c r="J292" s="48">
        <f t="shared" si="101"/>
        <v>20127.998</v>
      </c>
      <c r="K292" s="48">
        <f t="shared" si="101"/>
        <v>20127.998</v>
      </c>
      <c r="L292" s="48">
        <f t="shared" si="101"/>
        <v>20127.998</v>
      </c>
      <c r="M292" s="48">
        <f t="shared" si="101"/>
        <v>20127.998</v>
      </c>
      <c r="N292" s="48">
        <f t="shared" si="101"/>
        <v>20127.998</v>
      </c>
      <c r="O292" s="48">
        <f t="shared" si="101"/>
        <v>20127.998</v>
      </c>
      <c r="P292" s="48">
        <f t="shared" si="101"/>
        <v>20127.998</v>
      </c>
      <c r="Q292" s="48">
        <f t="shared" si="101"/>
        <v>0</v>
      </c>
      <c r="R292" s="48">
        <f t="shared" si="101"/>
        <v>0</v>
      </c>
      <c r="S292" s="48">
        <f t="shared" si="101"/>
        <v>0</v>
      </c>
      <c r="T292" s="48">
        <f t="shared" si="101"/>
        <v>0</v>
      </c>
      <c r="U292" s="48">
        <f t="shared" si="101"/>
        <v>0</v>
      </c>
      <c r="V292" s="48">
        <f t="shared" si="101"/>
        <v>0</v>
      </c>
      <c r="W292" s="48">
        <f t="shared" si="101"/>
        <v>0</v>
      </c>
      <c r="X292" s="48">
        <f t="shared" si="101"/>
        <v>0</v>
      </c>
      <c r="Y292" s="48">
        <f t="shared" si="101"/>
        <v>0</v>
      </c>
      <c r="Z292" s="48">
        <f t="shared" si="101"/>
        <v>0</v>
      </c>
      <c r="AA292" s="48">
        <f t="shared" si="101"/>
        <v>0</v>
      </c>
      <c r="AB292" s="48">
        <f t="shared" si="101"/>
        <v>0</v>
      </c>
      <c r="AC292" s="48">
        <f t="shared" si="101"/>
        <v>0</v>
      </c>
      <c r="AD292" s="48">
        <f t="shared" si="101"/>
        <v>0</v>
      </c>
    </row>
    <row r="293" spans="1:30" ht="51" customHeight="1">
      <c r="A293" s="23" t="s">
        <v>112</v>
      </c>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c r="AA293" s="42"/>
      <c r="AB293" s="42"/>
      <c r="AC293" s="42"/>
      <c r="AD293" s="42"/>
    </row>
    <row r="294" spans="1:30" s="8" customFormat="1" ht="15.5" outlineLevel="1">
      <c r="A294" s="242" t="str">
        <f>'Expected NPV &amp; Common Data'!A$36</f>
        <v>Calendar Year --&gt;</v>
      </c>
      <c r="B294" s="243" t="str">
        <f>'Expected NPV &amp; Common Data'!B$36</f>
        <v>units</v>
      </c>
      <c r="C294" s="244" t="str">
        <f>'Expected NPV &amp; Common Data'!C$36</f>
        <v>Total</v>
      </c>
      <c r="D294" s="245">
        <f>'Expected NPV &amp; Common Data'!D$36</f>
        <v>2027</v>
      </c>
      <c r="E294" s="245">
        <f>'Expected NPV &amp; Common Data'!E$36</f>
        <v>2028</v>
      </c>
      <c r="F294" s="245">
        <f>'Expected NPV &amp; Common Data'!F$36</f>
        <v>2029</v>
      </c>
      <c r="G294" s="245">
        <f>'Expected NPV &amp; Common Data'!G$36</f>
        <v>2030</v>
      </c>
      <c r="H294" s="245">
        <f>'Expected NPV &amp; Common Data'!H$36</f>
        <v>2031</v>
      </c>
      <c r="I294" s="245">
        <f>'Expected NPV &amp; Common Data'!I$36</f>
        <v>2032</v>
      </c>
      <c r="J294" s="245">
        <f>'Expected NPV &amp; Common Data'!J$36</f>
        <v>2033</v>
      </c>
      <c r="K294" s="245">
        <f>'Expected NPV &amp; Common Data'!K$36</f>
        <v>2034</v>
      </c>
      <c r="L294" s="245">
        <f>'Expected NPV &amp; Common Data'!L$36</f>
        <v>2035</v>
      </c>
      <c r="M294" s="245">
        <f>'Expected NPV &amp; Common Data'!M$36</f>
        <v>2036</v>
      </c>
      <c r="N294" s="245">
        <f>'Expected NPV &amp; Common Data'!N$36</f>
        <v>2037</v>
      </c>
      <c r="O294" s="245">
        <f>'Expected NPV &amp; Common Data'!O$36</f>
        <v>2038</v>
      </c>
      <c r="P294" s="245">
        <f>'Expected NPV &amp; Common Data'!P$36</f>
        <v>2039</v>
      </c>
      <c r="Q294" s="245">
        <f>'Expected NPV &amp; Common Data'!Q$36</f>
        <v>2040</v>
      </c>
      <c r="R294" s="245">
        <f>'Expected NPV &amp; Common Data'!R$36</f>
        <v>2041</v>
      </c>
      <c r="S294" s="245">
        <f>'Expected NPV &amp; Common Data'!S$36</f>
        <v>2042</v>
      </c>
      <c r="T294" s="245">
        <f>'Expected NPV &amp; Common Data'!T$36</f>
        <v>2043</v>
      </c>
      <c r="U294" s="245">
        <f>'Expected NPV &amp; Common Data'!U$36</f>
        <v>2044</v>
      </c>
      <c r="V294" s="245">
        <f>'Expected NPV &amp; Common Data'!V$36</f>
        <v>2045</v>
      </c>
      <c r="W294" s="245">
        <f>'Expected NPV &amp; Common Data'!W$36</f>
        <v>2046</v>
      </c>
      <c r="X294" s="245">
        <f>'Expected NPV &amp; Common Data'!X$36</f>
        <v>2047</v>
      </c>
      <c r="Y294" s="245">
        <f>'Expected NPV &amp; Common Data'!Y$36</f>
        <v>2048</v>
      </c>
      <c r="Z294" s="245">
        <f>'Expected NPV &amp; Common Data'!Z$36</f>
        <v>2049</v>
      </c>
      <c r="AA294" s="245">
        <f>'Expected NPV &amp; Common Data'!AA$36</f>
        <v>2050</v>
      </c>
      <c r="AB294" s="245">
        <f>'Expected NPV &amp; Common Data'!AB$36</f>
        <v>2051</v>
      </c>
      <c r="AC294" s="245">
        <f>'Expected NPV &amp; Common Data'!AC$36</f>
        <v>2052</v>
      </c>
      <c r="AD294" s="245">
        <f>'Expected NPV &amp; Common Data'!AD$36</f>
        <v>2053</v>
      </c>
    </row>
    <row r="295" spans="1:30" outlineLevel="1">
      <c r="A295" s="50" t="s">
        <v>114</v>
      </c>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row>
    <row r="296" spans="1:30" outlineLevel="1">
      <c r="A296" s="13" t="str">
        <f>A192</f>
        <v>copper concentrate sold</v>
      </c>
      <c r="B296" s="13" t="str">
        <f>B192</f>
        <v>000 tonnes DRY</v>
      </c>
      <c r="C296" s="44">
        <f>SUM(D296:AD296)</f>
        <v>2345.4967741935484</v>
      </c>
      <c r="D296" s="42">
        <f t="shared" ref="D296:AD296" si="102">D192</f>
        <v>0</v>
      </c>
      <c r="E296" s="42">
        <f t="shared" si="102"/>
        <v>0</v>
      </c>
      <c r="F296" s="42">
        <f t="shared" si="102"/>
        <v>82.664401603359423</v>
      </c>
      <c r="G296" s="42">
        <f t="shared" si="102"/>
        <v>155.32865050582171</v>
      </c>
      <c r="H296" s="42">
        <f t="shared" si="102"/>
        <v>166.91612903225806</v>
      </c>
      <c r="I296" s="42">
        <f t="shared" si="102"/>
        <v>166.91612903225806</v>
      </c>
      <c r="J296" s="42">
        <f t="shared" si="102"/>
        <v>173.74163008207671</v>
      </c>
      <c r="K296" s="42">
        <f t="shared" si="102"/>
        <v>156.96888719221226</v>
      </c>
      <c r="L296" s="42">
        <f t="shared" si="102"/>
        <v>157.36491696888714</v>
      </c>
      <c r="M296" s="42">
        <f t="shared" si="102"/>
        <v>158.24516129032253</v>
      </c>
      <c r="N296" s="42">
        <f t="shared" si="102"/>
        <v>158.24516129032253</v>
      </c>
      <c r="O296" s="42">
        <f t="shared" si="102"/>
        <v>158.24516129032253</v>
      </c>
      <c r="P296" s="42">
        <f t="shared" si="102"/>
        <v>158.86566138576063</v>
      </c>
      <c r="Q296" s="42">
        <f t="shared" si="102"/>
        <v>152.99736590952475</v>
      </c>
      <c r="R296" s="42">
        <f t="shared" si="102"/>
        <v>151.74193548387098</v>
      </c>
      <c r="S296" s="42">
        <f t="shared" si="102"/>
        <v>151.74193548387098</v>
      </c>
      <c r="T296" s="42">
        <f t="shared" si="102"/>
        <v>195.5136476426799</v>
      </c>
      <c r="U296" s="42">
        <f t="shared" si="102"/>
        <v>0</v>
      </c>
      <c r="V296" s="42">
        <f t="shared" si="102"/>
        <v>0</v>
      </c>
      <c r="W296" s="42">
        <f t="shared" si="102"/>
        <v>0</v>
      </c>
      <c r="X296" s="42">
        <f t="shared" si="102"/>
        <v>0</v>
      </c>
      <c r="Y296" s="42">
        <f t="shared" si="102"/>
        <v>0</v>
      </c>
      <c r="Z296" s="42">
        <f t="shared" si="102"/>
        <v>0</v>
      </c>
      <c r="AA296" s="42">
        <f t="shared" si="102"/>
        <v>0</v>
      </c>
      <c r="AB296" s="42">
        <f t="shared" si="102"/>
        <v>0</v>
      </c>
      <c r="AC296" s="42">
        <f t="shared" si="102"/>
        <v>0</v>
      </c>
      <c r="AD296" s="42">
        <f t="shared" si="102"/>
        <v>0</v>
      </c>
    </row>
    <row r="297" spans="1:30" outlineLevel="1">
      <c r="A297" s="13" t="str">
        <f>A280</f>
        <v>Copper concentrate - net price received</v>
      </c>
      <c r="B297" s="13" t="str">
        <f>B280</f>
        <v>US$/ tonne concentrate  Real</v>
      </c>
      <c r="C297" s="42"/>
      <c r="D297" s="42">
        <f t="shared" ref="D297:AD297" si="103">D280</f>
        <v>0</v>
      </c>
      <c r="E297" s="42">
        <f t="shared" si="103"/>
        <v>0</v>
      </c>
      <c r="F297" s="42">
        <f t="shared" si="103"/>
        <v>2410.0217901588589</v>
      </c>
      <c r="G297" s="42">
        <f t="shared" si="103"/>
        <v>2410.0217901588589</v>
      </c>
      <c r="H297" s="42">
        <f t="shared" si="103"/>
        <v>2410.0217901588589</v>
      </c>
      <c r="I297" s="42">
        <f t="shared" si="103"/>
        <v>2410.0217901588589</v>
      </c>
      <c r="J297" s="42">
        <f t="shared" si="103"/>
        <v>2410.0217901588589</v>
      </c>
      <c r="K297" s="42">
        <f t="shared" si="103"/>
        <v>2393.7964644708181</v>
      </c>
      <c r="L297" s="42">
        <f t="shared" si="103"/>
        <v>2390.9881164810854</v>
      </c>
      <c r="M297" s="42">
        <f t="shared" si="103"/>
        <v>2390.9881164810854</v>
      </c>
      <c r="N297" s="42">
        <f t="shared" si="103"/>
        <v>2390.9881164810854</v>
      </c>
      <c r="O297" s="42">
        <f t="shared" si="103"/>
        <v>2390.9881164810854</v>
      </c>
      <c r="P297" s="42">
        <f t="shared" si="103"/>
        <v>2391.2626885231871</v>
      </c>
      <c r="Q297" s="42">
        <f t="shared" si="103"/>
        <v>2388.4947408416165</v>
      </c>
      <c r="R297" s="42">
        <f t="shared" si="103"/>
        <v>2388.4947408416165</v>
      </c>
      <c r="S297" s="42">
        <f t="shared" si="103"/>
        <v>2388.4947408416165</v>
      </c>
      <c r="T297" s="42">
        <f t="shared" si="103"/>
        <v>2388.4947408416165</v>
      </c>
      <c r="U297" s="42">
        <f t="shared" si="103"/>
        <v>0</v>
      </c>
      <c r="V297" s="42">
        <f t="shared" si="103"/>
        <v>0</v>
      </c>
      <c r="W297" s="42">
        <f t="shared" si="103"/>
        <v>0</v>
      </c>
      <c r="X297" s="42">
        <f t="shared" si="103"/>
        <v>0</v>
      </c>
      <c r="Y297" s="42">
        <f t="shared" si="103"/>
        <v>0</v>
      </c>
      <c r="Z297" s="42">
        <f t="shared" si="103"/>
        <v>0</v>
      </c>
      <c r="AA297" s="42">
        <f t="shared" si="103"/>
        <v>0</v>
      </c>
      <c r="AB297" s="42">
        <f t="shared" si="103"/>
        <v>0</v>
      </c>
      <c r="AC297" s="42">
        <f t="shared" si="103"/>
        <v>0</v>
      </c>
      <c r="AD297" s="42">
        <f t="shared" si="103"/>
        <v>0</v>
      </c>
    </row>
    <row r="298" spans="1:30" s="14" customFormat="1" outlineLevel="1">
      <c r="A298" s="14" t="s">
        <v>114</v>
      </c>
      <c r="B298" s="13" t="s">
        <v>82</v>
      </c>
      <c r="C298" s="44">
        <f>SUM(D298:AD298)</f>
        <v>5621.1045673530007</v>
      </c>
      <c r="D298" s="44">
        <f t="shared" ref="D298:AD298" si="104">D280*D192/1000</f>
        <v>0</v>
      </c>
      <c r="E298" s="44">
        <f t="shared" si="104"/>
        <v>0</v>
      </c>
      <c r="F298" s="44">
        <f t="shared" si="104"/>
        <v>199.22300913453913</v>
      </c>
      <c r="G298" s="44">
        <f t="shared" si="104"/>
        <v>374.34543235500018</v>
      </c>
      <c r="H298" s="44">
        <f t="shared" si="104"/>
        <v>402.27150809670968</v>
      </c>
      <c r="I298" s="44">
        <f t="shared" si="104"/>
        <v>402.27150809670968</v>
      </c>
      <c r="J298" s="44">
        <f t="shared" si="104"/>
        <v>418.72111435552478</v>
      </c>
      <c r="K298" s="44">
        <f t="shared" si="104"/>
        <v>375.75156719263646</v>
      </c>
      <c r="L298" s="44">
        <f t="shared" si="104"/>
        <v>376.25764642364186</v>
      </c>
      <c r="M298" s="44">
        <f t="shared" si="104"/>
        <v>378.36230013579382</v>
      </c>
      <c r="N298" s="44">
        <f t="shared" si="104"/>
        <v>378.36230013579382</v>
      </c>
      <c r="O298" s="44">
        <f t="shared" si="104"/>
        <v>378.36230013579382</v>
      </c>
      <c r="P298" s="44">
        <f t="shared" si="104"/>
        <v>379.88952855932826</v>
      </c>
      <c r="Q298" s="44">
        <f t="shared" si="104"/>
        <v>365.4334038375203</v>
      </c>
      <c r="R298" s="44">
        <f t="shared" si="104"/>
        <v>362.43481486835373</v>
      </c>
      <c r="S298" s="44">
        <f t="shared" si="104"/>
        <v>362.43481486835373</v>
      </c>
      <c r="T298" s="44">
        <f t="shared" si="104"/>
        <v>466.98331915730188</v>
      </c>
      <c r="U298" s="44">
        <f t="shared" si="104"/>
        <v>0</v>
      </c>
      <c r="V298" s="44">
        <f t="shared" si="104"/>
        <v>0</v>
      </c>
      <c r="W298" s="44">
        <f t="shared" si="104"/>
        <v>0</v>
      </c>
      <c r="X298" s="44">
        <f t="shared" si="104"/>
        <v>0</v>
      </c>
      <c r="Y298" s="44">
        <f t="shared" si="104"/>
        <v>0</v>
      </c>
      <c r="Z298" s="44">
        <f t="shared" si="104"/>
        <v>0</v>
      </c>
      <c r="AA298" s="44">
        <f t="shared" si="104"/>
        <v>0</v>
      </c>
      <c r="AB298" s="44">
        <f t="shared" si="104"/>
        <v>0</v>
      </c>
      <c r="AC298" s="44">
        <f t="shared" si="104"/>
        <v>0</v>
      </c>
      <c r="AD298" s="44">
        <f t="shared" si="104"/>
        <v>0</v>
      </c>
    </row>
    <row r="299" spans="1:30" s="134" customFormat="1" outlineLevel="1">
      <c r="A299" s="139"/>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c r="AA299" s="64"/>
      <c r="AB299" s="64"/>
      <c r="AC299" s="64"/>
      <c r="AD299" s="64"/>
    </row>
    <row r="300" spans="1:30" outlineLevel="1">
      <c r="A300" s="50" t="s">
        <v>115</v>
      </c>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row>
    <row r="301" spans="1:30" outlineLevel="1">
      <c r="A301" s="13" t="str">
        <f t="shared" ref="A301:AD301" si="105">A201</f>
        <v>moly concentrate sold</v>
      </c>
      <c r="B301" s="13" t="str">
        <f t="shared" si="105"/>
        <v>000 tonnes DRY</v>
      </c>
      <c r="C301" s="66">
        <f t="shared" si="105"/>
        <v>51.054545454545455</v>
      </c>
      <c r="D301" s="42">
        <f t="shared" si="105"/>
        <v>0</v>
      </c>
      <c r="E301" s="42">
        <f t="shared" si="105"/>
        <v>0</v>
      </c>
      <c r="F301" s="42">
        <f t="shared" si="105"/>
        <v>3.1662183969876274</v>
      </c>
      <c r="G301" s="42">
        <f t="shared" si="105"/>
        <v>6.2365788058095744</v>
      </c>
      <c r="H301" s="42">
        <f t="shared" si="105"/>
        <v>6.8727272727272721</v>
      </c>
      <c r="I301" s="42">
        <f t="shared" si="105"/>
        <v>6.8727272727272721</v>
      </c>
      <c r="J301" s="42">
        <f t="shared" si="105"/>
        <v>7.1341581495427633</v>
      </c>
      <c r="K301" s="42">
        <f t="shared" si="105"/>
        <v>4.7725658956428196</v>
      </c>
      <c r="L301" s="42">
        <f t="shared" si="105"/>
        <v>3.1981710597095212</v>
      </c>
      <c r="M301" s="42">
        <f t="shared" si="105"/>
        <v>2.9454545454545453</v>
      </c>
      <c r="N301" s="42">
        <f t="shared" si="105"/>
        <v>2.9454545454545453</v>
      </c>
      <c r="O301" s="42">
        <f t="shared" si="105"/>
        <v>2.9454545454545453</v>
      </c>
      <c r="P301" s="42">
        <f t="shared" si="105"/>
        <v>3.965034965034965</v>
      </c>
      <c r="Q301" s="42">
        <f t="shared" si="105"/>
        <v>0</v>
      </c>
      <c r="R301" s="42">
        <f t="shared" si="105"/>
        <v>0</v>
      </c>
      <c r="S301" s="42">
        <f t="shared" si="105"/>
        <v>0</v>
      </c>
      <c r="T301" s="42">
        <f t="shared" si="105"/>
        <v>0</v>
      </c>
      <c r="U301" s="42">
        <f t="shared" si="105"/>
        <v>0</v>
      </c>
      <c r="V301" s="42">
        <f t="shared" si="105"/>
        <v>0</v>
      </c>
      <c r="W301" s="42">
        <f t="shared" si="105"/>
        <v>0</v>
      </c>
      <c r="X301" s="42">
        <f t="shared" si="105"/>
        <v>0</v>
      </c>
      <c r="Y301" s="42">
        <f t="shared" si="105"/>
        <v>0</v>
      </c>
      <c r="Z301" s="42">
        <f t="shared" si="105"/>
        <v>0</v>
      </c>
      <c r="AA301" s="42">
        <f t="shared" si="105"/>
        <v>0</v>
      </c>
      <c r="AB301" s="42">
        <f t="shared" si="105"/>
        <v>0</v>
      </c>
      <c r="AC301" s="42">
        <f t="shared" si="105"/>
        <v>0</v>
      </c>
      <c r="AD301" s="42">
        <f t="shared" si="105"/>
        <v>0</v>
      </c>
    </row>
    <row r="302" spans="1:30" outlineLevel="1">
      <c r="A302" s="13" t="str">
        <f>A292</f>
        <v>Moly concentrate - net price received</v>
      </c>
      <c r="B302" s="13" t="str">
        <f>B292</f>
        <v>US$/ tonne concentrate  Real</v>
      </c>
      <c r="C302" s="42"/>
      <c r="D302" s="42">
        <f t="shared" ref="D302:AD302" si="106">D292</f>
        <v>0</v>
      </c>
      <c r="E302" s="42">
        <f t="shared" si="106"/>
        <v>0</v>
      </c>
      <c r="F302" s="42">
        <f t="shared" si="106"/>
        <v>20127.998</v>
      </c>
      <c r="G302" s="42">
        <f t="shared" si="106"/>
        <v>20127.998</v>
      </c>
      <c r="H302" s="42">
        <f t="shared" si="106"/>
        <v>20127.998</v>
      </c>
      <c r="I302" s="42">
        <f t="shared" si="106"/>
        <v>20127.998</v>
      </c>
      <c r="J302" s="42">
        <f t="shared" si="106"/>
        <v>20127.998</v>
      </c>
      <c r="K302" s="42">
        <f t="shared" si="106"/>
        <v>20127.998</v>
      </c>
      <c r="L302" s="42">
        <f t="shared" si="106"/>
        <v>20127.998</v>
      </c>
      <c r="M302" s="42">
        <f t="shared" si="106"/>
        <v>20127.998</v>
      </c>
      <c r="N302" s="42">
        <f t="shared" si="106"/>
        <v>20127.998</v>
      </c>
      <c r="O302" s="42">
        <f t="shared" si="106"/>
        <v>20127.998</v>
      </c>
      <c r="P302" s="42">
        <f t="shared" si="106"/>
        <v>20127.998</v>
      </c>
      <c r="Q302" s="42">
        <f t="shared" si="106"/>
        <v>0</v>
      </c>
      <c r="R302" s="42">
        <f t="shared" si="106"/>
        <v>0</v>
      </c>
      <c r="S302" s="42">
        <f t="shared" si="106"/>
        <v>0</v>
      </c>
      <c r="T302" s="42">
        <f t="shared" si="106"/>
        <v>0</v>
      </c>
      <c r="U302" s="42">
        <f t="shared" si="106"/>
        <v>0</v>
      </c>
      <c r="V302" s="42">
        <f t="shared" si="106"/>
        <v>0</v>
      </c>
      <c r="W302" s="42">
        <f t="shared" si="106"/>
        <v>0</v>
      </c>
      <c r="X302" s="42">
        <f t="shared" si="106"/>
        <v>0</v>
      </c>
      <c r="Y302" s="42">
        <f t="shared" si="106"/>
        <v>0</v>
      </c>
      <c r="Z302" s="42">
        <f t="shared" si="106"/>
        <v>0</v>
      </c>
      <c r="AA302" s="42">
        <f t="shared" si="106"/>
        <v>0</v>
      </c>
      <c r="AB302" s="42">
        <f t="shared" si="106"/>
        <v>0</v>
      </c>
      <c r="AC302" s="42">
        <f t="shared" si="106"/>
        <v>0</v>
      </c>
      <c r="AD302" s="42">
        <f t="shared" si="106"/>
        <v>0</v>
      </c>
    </row>
    <row r="303" spans="1:30" s="14" customFormat="1" outlineLevel="1">
      <c r="A303" s="14" t="s">
        <v>115</v>
      </c>
      <c r="B303" s="13" t="s">
        <v>82</v>
      </c>
      <c r="C303" s="44">
        <f>SUM(D303:AD303)</f>
        <v>1027.6257887999998</v>
      </c>
      <c r="D303" s="44">
        <f t="shared" ref="D303:AD303" si="107">D201*D292/1000</f>
        <v>0</v>
      </c>
      <c r="E303" s="44">
        <f t="shared" si="107"/>
        <v>0</v>
      </c>
      <c r="F303" s="44">
        <f t="shared" si="107"/>
        <v>63.729637562130172</v>
      </c>
      <c r="G303" s="44">
        <f t="shared" si="107"/>
        <v>125.5298457301775</v>
      </c>
      <c r="H303" s="44">
        <f t="shared" si="107"/>
        <v>138.3342408</v>
      </c>
      <c r="I303" s="44">
        <f t="shared" si="107"/>
        <v>138.3342408</v>
      </c>
      <c r="J303" s="44">
        <f t="shared" si="107"/>
        <v>143.59632096568043</v>
      </c>
      <c r="K303" s="44">
        <f t="shared" si="107"/>
        <v>96.06219680236687</v>
      </c>
      <c r="L303" s="44">
        <f t="shared" si="107"/>
        <v>64.372780693491123</v>
      </c>
      <c r="M303" s="44">
        <f t="shared" si="107"/>
        <v>59.286103199999999</v>
      </c>
      <c r="N303" s="44">
        <f t="shared" si="107"/>
        <v>59.286103199999999</v>
      </c>
      <c r="O303" s="44">
        <f t="shared" si="107"/>
        <v>59.286103199999999</v>
      </c>
      <c r="P303" s="44">
        <f t="shared" si="107"/>
        <v>79.808215846153843</v>
      </c>
      <c r="Q303" s="44">
        <f t="shared" si="107"/>
        <v>0</v>
      </c>
      <c r="R303" s="44">
        <f t="shared" si="107"/>
        <v>0</v>
      </c>
      <c r="S303" s="44">
        <f t="shared" si="107"/>
        <v>0</v>
      </c>
      <c r="T303" s="44">
        <f t="shared" si="107"/>
        <v>0</v>
      </c>
      <c r="U303" s="44">
        <f t="shared" si="107"/>
        <v>0</v>
      </c>
      <c r="V303" s="44">
        <f t="shared" si="107"/>
        <v>0</v>
      </c>
      <c r="W303" s="44">
        <f t="shared" si="107"/>
        <v>0</v>
      </c>
      <c r="X303" s="44">
        <f t="shared" si="107"/>
        <v>0</v>
      </c>
      <c r="Y303" s="44">
        <f t="shared" si="107"/>
        <v>0</v>
      </c>
      <c r="Z303" s="44">
        <f t="shared" si="107"/>
        <v>0</v>
      </c>
      <c r="AA303" s="44">
        <f t="shared" si="107"/>
        <v>0</v>
      </c>
      <c r="AB303" s="44">
        <f t="shared" si="107"/>
        <v>0</v>
      </c>
      <c r="AC303" s="44">
        <f t="shared" si="107"/>
        <v>0</v>
      </c>
      <c r="AD303" s="44">
        <f t="shared" si="107"/>
        <v>0</v>
      </c>
    </row>
    <row r="304" spans="1:30" s="134" customFormat="1" outlineLevel="1">
      <c r="A304" s="139"/>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c r="AA304" s="64"/>
      <c r="AB304" s="64"/>
      <c r="AC304" s="64"/>
      <c r="AD304" s="64"/>
    </row>
    <row r="305" spans="1:30" s="65" customFormat="1" outlineLevel="1">
      <c r="A305" s="134" t="s">
        <v>548</v>
      </c>
      <c r="B305" s="52"/>
      <c r="C305" s="54"/>
      <c r="D305" s="54"/>
      <c r="E305" s="54"/>
      <c r="F305" s="54"/>
      <c r="G305" s="54"/>
      <c r="H305" s="54"/>
      <c r="I305" s="54"/>
      <c r="J305" s="54"/>
      <c r="K305" s="54"/>
      <c r="L305" s="54"/>
      <c r="M305" s="54"/>
      <c r="N305" s="54"/>
      <c r="O305" s="54"/>
      <c r="P305" s="54"/>
      <c r="Q305" s="54"/>
      <c r="R305" s="54"/>
      <c r="S305" s="54"/>
      <c r="T305" s="54"/>
      <c r="U305" s="54"/>
      <c r="V305" s="54"/>
      <c r="W305" s="54"/>
      <c r="X305" s="54"/>
      <c r="Y305" s="54"/>
      <c r="Z305" s="54"/>
      <c r="AA305" s="54"/>
      <c r="AB305" s="54"/>
      <c r="AC305" s="54"/>
      <c r="AD305" s="54"/>
    </row>
    <row r="306" spans="1:30" s="18" customFormat="1" ht="30.65" customHeight="1" outlineLevel="1">
      <c r="A306" s="28" t="s">
        <v>116</v>
      </c>
      <c r="B306" s="18" t="s">
        <v>82</v>
      </c>
      <c r="C306" s="29">
        <f>SUM(D306:AD306)</f>
        <v>6648.7303561530007</v>
      </c>
      <c r="D306" s="29">
        <f t="shared" ref="D306:AD306" si="108">D298+D303</f>
        <v>0</v>
      </c>
      <c r="E306" s="29">
        <f t="shared" si="108"/>
        <v>0</v>
      </c>
      <c r="F306" s="29">
        <f t="shared" si="108"/>
        <v>262.95264669666932</v>
      </c>
      <c r="G306" s="29">
        <f t="shared" si="108"/>
        <v>499.87527808517768</v>
      </c>
      <c r="H306" s="29">
        <f t="shared" si="108"/>
        <v>540.60574889670966</v>
      </c>
      <c r="I306" s="29">
        <f t="shared" si="108"/>
        <v>540.60574889670966</v>
      </c>
      <c r="J306" s="29">
        <f t="shared" si="108"/>
        <v>562.31743532120527</v>
      </c>
      <c r="K306" s="29">
        <f t="shared" si="108"/>
        <v>471.81376399500334</v>
      </c>
      <c r="L306" s="29">
        <f t="shared" si="108"/>
        <v>440.63042711713297</v>
      </c>
      <c r="M306" s="29">
        <f t="shared" si="108"/>
        <v>437.64840333579383</v>
      </c>
      <c r="N306" s="29">
        <f t="shared" si="108"/>
        <v>437.64840333579383</v>
      </c>
      <c r="O306" s="29">
        <f t="shared" si="108"/>
        <v>437.64840333579383</v>
      </c>
      <c r="P306" s="29">
        <f t="shared" si="108"/>
        <v>459.69774440548213</v>
      </c>
      <c r="Q306" s="29">
        <f t="shared" si="108"/>
        <v>365.4334038375203</v>
      </c>
      <c r="R306" s="29">
        <f t="shared" si="108"/>
        <v>362.43481486835373</v>
      </c>
      <c r="S306" s="29">
        <f t="shared" si="108"/>
        <v>362.43481486835373</v>
      </c>
      <c r="T306" s="29">
        <f t="shared" si="108"/>
        <v>466.98331915730188</v>
      </c>
      <c r="U306" s="29">
        <f t="shared" si="108"/>
        <v>0</v>
      </c>
      <c r="V306" s="29">
        <f t="shared" si="108"/>
        <v>0</v>
      </c>
      <c r="W306" s="29">
        <f t="shared" si="108"/>
        <v>0</v>
      </c>
      <c r="X306" s="29">
        <f t="shared" si="108"/>
        <v>0</v>
      </c>
      <c r="Y306" s="29">
        <f t="shared" si="108"/>
        <v>0</v>
      </c>
      <c r="Z306" s="29">
        <f t="shared" si="108"/>
        <v>0</v>
      </c>
      <c r="AA306" s="29">
        <f t="shared" si="108"/>
        <v>0</v>
      </c>
      <c r="AB306" s="29">
        <f t="shared" si="108"/>
        <v>0</v>
      </c>
      <c r="AC306" s="29">
        <f t="shared" si="108"/>
        <v>0</v>
      </c>
      <c r="AD306" s="29">
        <f t="shared" si="108"/>
        <v>0</v>
      </c>
    </row>
    <row r="307" spans="1:30" outlineLevel="1">
      <c r="A307" s="50" t="s">
        <v>9</v>
      </c>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row>
    <row r="308" spans="1:30" outlineLevel="1">
      <c r="A308" s="134" t="s">
        <v>549</v>
      </c>
      <c r="C308" s="38"/>
    </row>
    <row r="309" spans="1:30" ht="14.4" customHeight="1" outlineLevel="1" thickBot="1">
      <c r="A309" s="214" t="s">
        <v>9</v>
      </c>
      <c r="B309" s="214" t="s">
        <v>10</v>
      </c>
      <c r="C309" s="57"/>
      <c r="D309" s="219">
        <v>30</v>
      </c>
      <c r="E309" s="219">
        <f t="shared" ref="E309:AD309" si="109">D309</f>
        <v>30</v>
      </c>
      <c r="F309" s="219">
        <f t="shared" si="109"/>
        <v>30</v>
      </c>
      <c r="G309" s="219">
        <f t="shared" si="109"/>
        <v>30</v>
      </c>
      <c r="H309" s="219">
        <f t="shared" si="109"/>
        <v>30</v>
      </c>
      <c r="I309" s="219">
        <f t="shared" si="109"/>
        <v>30</v>
      </c>
      <c r="J309" s="219">
        <f t="shared" si="109"/>
        <v>30</v>
      </c>
      <c r="K309" s="219">
        <f t="shared" si="109"/>
        <v>30</v>
      </c>
      <c r="L309" s="219">
        <f t="shared" si="109"/>
        <v>30</v>
      </c>
      <c r="M309" s="219">
        <f t="shared" si="109"/>
        <v>30</v>
      </c>
      <c r="N309" s="219">
        <f t="shared" si="109"/>
        <v>30</v>
      </c>
      <c r="O309" s="219">
        <f t="shared" si="109"/>
        <v>30</v>
      </c>
      <c r="P309" s="219">
        <f t="shared" si="109"/>
        <v>30</v>
      </c>
      <c r="Q309" s="219">
        <f t="shared" si="109"/>
        <v>30</v>
      </c>
      <c r="R309" s="219">
        <f t="shared" si="109"/>
        <v>30</v>
      </c>
      <c r="S309" s="219">
        <f t="shared" si="109"/>
        <v>30</v>
      </c>
      <c r="T309" s="219">
        <f t="shared" si="109"/>
        <v>30</v>
      </c>
      <c r="U309" s="219">
        <f t="shared" si="109"/>
        <v>30</v>
      </c>
      <c r="V309" s="219">
        <f t="shared" si="109"/>
        <v>30</v>
      </c>
      <c r="W309" s="219">
        <f t="shared" si="109"/>
        <v>30</v>
      </c>
      <c r="X309" s="219">
        <f t="shared" si="109"/>
        <v>30</v>
      </c>
      <c r="Y309" s="219">
        <f t="shared" si="109"/>
        <v>30</v>
      </c>
      <c r="Z309" s="219">
        <f t="shared" si="109"/>
        <v>30</v>
      </c>
      <c r="AA309" s="219">
        <f t="shared" si="109"/>
        <v>30</v>
      </c>
      <c r="AB309" s="219">
        <f t="shared" si="109"/>
        <v>30</v>
      </c>
      <c r="AC309" s="219">
        <f t="shared" si="109"/>
        <v>30</v>
      </c>
      <c r="AD309" s="219">
        <f t="shared" si="109"/>
        <v>30</v>
      </c>
    </row>
    <row r="310" spans="1:30" ht="13.5" outlineLevel="1" thickBot="1">
      <c r="A310" s="13" t="s">
        <v>11</v>
      </c>
      <c r="B310" s="13" t="s">
        <v>82</v>
      </c>
      <c r="C310" s="58">
        <f>AD310</f>
        <v>0</v>
      </c>
      <c r="D310" s="42">
        <f t="shared" ref="D310:AD310" si="110">IF(E306=0,0,D306*D309/365)</f>
        <v>0</v>
      </c>
      <c r="E310" s="42">
        <f t="shared" si="110"/>
        <v>0</v>
      </c>
      <c r="F310" s="42">
        <f t="shared" si="110"/>
        <v>21.612546303835835</v>
      </c>
      <c r="G310" s="42">
        <f t="shared" si="110"/>
        <v>41.085639294672141</v>
      </c>
      <c r="H310" s="42">
        <f t="shared" si="110"/>
        <v>44.433349224387094</v>
      </c>
      <c r="I310" s="42">
        <f t="shared" si="110"/>
        <v>44.433349224387094</v>
      </c>
      <c r="J310" s="42">
        <f t="shared" si="110"/>
        <v>46.217871396263448</v>
      </c>
      <c r="K310" s="42">
        <f t="shared" si="110"/>
        <v>38.779213479041367</v>
      </c>
      <c r="L310" s="42">
        <f t="shared" si="110"/>
        <v>36.216199489079422</v>
      </c>
      <c r="M310" s="42">
        <f t="shared" si="110"/>
        <v>35.971101644037851</v>
      </c>
      <c r="N310" s="42">
        <f t="shared" si="110"/>
        <v>35.971101644037851</v>
      </c>
      <c r="O310" s="42">
        <f t="shared" si="110"/>
        <v>35.971101644037851</v>
      </c>
      <c r="P310" s="42">
        <f t="shared" si="110"/>
        <v>37.783376252505384</v>
      </c>
      <c r="Q310" s="42">
        <f t="shared" si="110"/>
        <v>30.035622233220849</v>
      </c>
      <c r="R310" s="42">
        <f t="shared" si="110"/>
        <v>29.789162865892084</v>
      </c>
      <c r="S310" s="42">
        <f t="shared" si="110"/>
        <v>29.789162865892084</v>
      </c>
      <c r="T310" s="42">
        <f t="shared" si="110"/>
        <v>0</v>
      </c>
      <c r="U310" s="42">
        <f t="shared" si="110"/>
        <v>0</v>
      </c>
      <c r="V310" s="42">
        <f t="shared" si="110"/>
        <v>0</v>
      </c>
      <c r="W310" s="42">
        <f t="shared" si="110"/>
        <v>0</v>
      </c>
      <c r="X310" s="42">
        <f t="shared" si="110"/>
        <v>0</v>
      </c>
      <c r="Y310" s="42">
        <f t="shared" si="110"/>
        <v>0</v>
      </c>
      <c r="Z310" s="42">
        <f t="shared" si="110"/>
        <v>0</v>
      </c>
      <c r="AA310" s="42">
        <f t="shared" si="110"/>
        <v>0</v>
      </c>
      <c r="AB310" s="42">
        <f t="shared" si="110"/>
        <v>0</v>
      </c>
      <c r="AC310" s="42">
        <f t="shared" si="110"/>
        <v>0</v>
      </c>
      <c r="AD310" s="42">
        <f t="shared" si="110"/>
        <v>0</v>
      </c>
    </row>
    <row r="311" spans="1:30" s="25" customFormat="1" ht="37.25" customHeight="1" thickBot="1">
      <c r="A311" s="26" t="str">
        <f>"Cashstream 1: Revenue - "&amp;A3</f>
        <v>Cashstream 1: Revenue - Low Case</v>
      </c>
      <c r="B311" s="32" t="s">
        <v>82</v>
      </c>
      <c r="C311" s="27">
        <f>SUM(D311:AD311)</f>
        <v>6648.7303561530016</v>
      </c>
      <c r="D311" s="140">
        <f>D306-D310</f>
        <v>0</v>
      </c>
      <c r="E311" s="129">
        <f t="shared" ref="E311:AD311" si="111">D310+E306-E310</f>
        <v>0</v>
      </c>
      <c r="F311" s="129">
        <f t="shared" si="111"/>
        <v>241.34010039283348</v>
      </c>
      <c r="G311" s="129">
        <f t="shared" si="111"/>
        <v>480.40218509434141</v>
      </c>
      <c r="H311" s="129">
        <f t="shared" si="111"/>
        <v>537.2580389669946</v>
      </c>
      <c r="I311" s="129">
        <f t="shared" si="111"/>
        <v>540.60574889670966</v>
      </c>
      <c r="J311" s="129">
        <f t="shared" si="111"/>
        <v>560.53291314932892</v>
      </c>
      <c r="K311" s="129">
        <f t="shared" si="111"/>
        <v>479.25242191222549</v>
      </c>
      <c r="L311" s="129">
        <f t="shared" si="111"/>
        <v>443.19344110709488</v>
      </c>
      <c r="M311" s="129">
        <f t="shared" si="111"/>
        <v>437.89350118083541</v>
      </c>
      <c r="N311" s="129">
        <f t="shared" si="111"/>
        <v>437.64840333579383</v>
      </c>
      <c r="O311" s="129">
        <f t="shared" si="111"/>
        <v>437.64840333579383</v>
      </c>
      <c r="P311" s="129">
        <f t="shared" si="111"/>
        <v>457.88546979701459</v>
      </c>
      <c r="Q311" s="129">
        <f t="shared" si="111"/>
        <v>373.18115785680482</v>
      </c>
      <c r="R311" s="129">
        <f t="shared" si="111"/>
        <v>362.68127423568251</v>
      </c>
      <c r="S311" s="129">
        <f t="shared" si="111"/>
        <v>362.43481486835373</v>
      </c>
      <c r="T311" s="129">
        <f t="shared" si="111"/>
        <v>496.77248202319396</v>
      </c>
      <c r="U311" s="129">
        <f t="shared" si="111"/>
        <v>0</v>
      </c>
      <c r="V311" s="129">
        <f t="shared" si="111"/>
        <v>0</v>
      </c>
      <c r="W311" s="129">
        <f t="shared" si="111"/>
        <v>0</v>
      </c>
      <c r="X311" s="129">
        <f t="shared" si="111"/>
        <v>0</v>
      </c>
      <c r="Y311" s="129">
        <f t="shared" si="111"/>
        <v>0</v>
      </c>
      <c r="Z311" s="129">
        <f t="shared" si="111"/>
        <v>0</v>
      </c>
      <c r="AA311" s="129">
        <f t="shared" si="111"/>
        <v>0</v>
      </c>
      <c r="AB311" s="129">
        <f t="shared" si="111"/>
        <v>0</v>
      </c>
      <c r="AC311" s="129">
        <f t="shared" si="111"/>
        <v>0</v>
      </c>
      <c r="AD311" s="129">
        <f t="shared" si="111"/>
        <v>0</v>
      </c>
    </row>
    <row r="312" spans="1:30" s="14" customFormat="1" ht="40.5" customHeight="1">
      <c r="A312" s="50" t="s">
        <v>215</v>
      </c>
      <c r="B312" s="13"/>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c r="AA312" s="44"/>
      <c r="AB312" s="44"/>
      <c r="AC312" s="44"/>
      <c r="AD312" s="44"/>
    </row>
    <row r="313" spans="1:30">
      <c r="A313" s="13" t="s">
        <v>164</v>
      </c>
      <c r="B313" s="13" t="s">
        <v>82</v>
      </c>
      <c r="C313" s="44">
        <f>SUM(D313:AD313)</f>
        <v>5032.9814699508843</v>
      </c>
      <c r="D313" s="42">
        <f t="shared" ref="D313:AD313" si="112">D282*D$192/1000</f>
        <v>0</v>
      </c>
      <c r="E313" s="42">
        <f t="shared" si="112"/>
        <v>0</v>
      </c>
      <c r="F313" s="42">
        <f t="shared" si="112"/>
        <v>177.38178371076037</v>
      </c>
      <c r="G313" s="42">
        <f t="shared" si="112"/>
        <v>333.30517796899221</v>
      </c>
      <c r="H313" s="42">
        <f t="shared" si="112"/>
        <v>358.16966098541417</v>
      </c>
      <c r="I313" s="42">
        <f t="shared" si="112"/>
        <v>358.16966098541417</v>
      </c>
      <c r="J313" s="42">
        <f t="shared" si="112"/>
        <v>372.81586331015581</v>
      </c>
      <c r="K313" s="42">
        <f t="shared" si="112"/>
        <v>336.82480798501547</v>
      </c>
      <c r="L313" s="42">
        <f t="shared" si="112"/>
        <v>337.67461112671396</v>
      </c>
      <c r="M313" s="42">
        <f t="shared" si="112"/>
        <v>339.56344483032757</v>
      </c>
      <c r="N313" s="42">
        <f t="shared" si="112"/>
        <v>339.56344483032757</v>
      </c>
      <c r="O313" s="42">
        <f t="shared" si="112"/>
        <v>339.56344483032757</v>
      </c>
      <c r="P313" s="42">
        <f t="shared" si="112"/>
        <v>340.89491776894056</v>
      </c>
      <c r="Q313" s="42">
        <f t="shared" si="112"/>
        <v>328.30269307818315</v>
      </c>
      <c r="R313" s="42">
        <f t="shared" si="112"/>
        <v>325.60878271401288</v>
      </c>
      <c r="S313" s="42">
        <f t="shared" si="112"/>
        <v>325.60878271401288</v>
      </c>
      <c r="T313" s="42">
        <f t="shared" si="112"/>
        <v>419.53439311228584</v>
      </c>
      <c r="U313" s="42">
        <f t="shared" si="112"/>
        <v>0</v>
      </c>
      <c r="V313" s="42">
        <f t="shared" si="112"/>
        <v>0</v>
      </c>
      <c r="W313" s="42">
        <f t="shared" si="112"/>
        <v>0</v>
      </c>
      <c r="X313" s="42">
        <f t="shared" si="112"/>
        <v>0</v>
      </c>
      <c r="Y313" s="42">
        <f t="shared" si="112"/>
        <v>0</v>
      </c>
      <c r="Z313" s="42">
        <f t="shared" si="112"/>
        <v>0</v>
      </c>
      <c r="AA313" s="42">
        <f t="shared" si="112"/>
        <v>0</v>
      </c>
      <c r="AB313" s="42">
        <f t="shared" si="112"/>
        <v>0</v>
      </c>
      <c r="AC313" s="42">
        <f t="shared" si="112"/>
        <v>0</v>
      </c>
      <c r="AD313" s="42">
        <f t="shared" si="112"/>
        <v>0</v>
      </c>
    </row>
    <row r="314" spans="1:30">
      <c r="A314" s="49" t="s">
        <v>265</v>
      </c>
      <c r="C314" s="44"/>
      <c r="D314" s="42"/>
      <c r="E314" s="42"/>
      <c r="F314" s="42"/>
      <c r="G314" s="42"/>
      <c r="H314" s="42"/>
      <c r="I314" s="42"/>
      <c r="J314" s="42"/>
      <c r="K314" s="42"/>
      <c r="L314" s="42"/>
      <c r="M314" s="42"/>
      <c r="N314" s="42"/>
      <c r="O314" s="42"/>
      <c r="P314" s="42"/>
      <c r="Q314" s="42"/>
      <c r="R314" s="42"/>
      <c r="S314" s="42"/>
      <c r="T314" s="42"/>
      <c r="U314" s="42"/>
      <c r="V314" s="42"/>
      <c r="W314" s="42"/>
      <c r="X314" s="42"/>
      <c r="Y314" s="42"/>
      <c r="Z314" s="42"/>
      <c r="AA314" s="42"/>
      <c r="AB314" s="42"/>
      <c r="AC314" s="42"/>
      <c r="AD314" s="42"/>
    </row>
    <row r="315" spans="1:30">
      <c r="A315" s="13" t="s">
        <v>434</v>
      </c>
      <c r="B315" s="13" t="s">
        <v>82</v>
      </c>
      <c r="C315" s="44">
        <f>SUM(D315:AD315)</f>
        <v>575.90804582412693</v>
      </c>
      <c r="D315" s="42">
        <f t="shared" ref="D315:AD316" si="113">D283*D$192/1000</f>
        <v>0</v>
      </c>
      <c r="E315" s="42">
        <f t="shared" si="113"/>
        <v>0</v>
      </c>
      <c r="F315" s="42">
        <f t="shared" si="113"/>
        <v>20.517652609448426</v>
      </c>
      <c r="G315" s="42">
        <f t="shared" si="113"/>
        <v>38.553225204056389</v>
      </c>
      <c r="H315" s="42">
        <f t="shared" si="113"/>
        <v>41.429286173633436</v>
      </c>
      <c r="I315" s="42">
        <f t="shared" si="113"/>
        <v>41.429286173633436</v>
      </c>
      <c r="J315" s="42">
        <f t="shared" si="113"/>
        <v>43.123404279000724</v>
      </c>
      <c r="K315" s="42">
        <f t="shared" si="113"/>
        <v>38.649278267605268</v>
      </c>
      <c r="L315" s="42">
        <f t="shared" si="113"/>
        <v>38.583035296927882</v>
      </c>
      <c r="M315" s="42">
        <f t="shared" si="113"/>
        <v>38.798855305466233</v>
      </c>
      <c r="N315" s="42">
        <f t="shared" si="113"/>
        <v>38.798855305466233</v>
      </c>
      <c r="O315" s="42">
        <f t="shared" si="113"/>
        <v>38.798855305466233</v>
      </c>
      <c r="P315" s="42">
        <f t="shared" si="113"/>
        <v>38.994610790387696</v>
      </c>
      <c r="Q315" s="42">
        <f t="shared" si="113"/>
        <v>37.130710759337127</v>
      </c>
      <c r="R315" s="42">
        <f t="shared" si="113"/>
        <v>36.826032154340837</v>
      </c>
      <c r="S315" s="42">
        <f t="shared" si="113"/>
        <v>36.826032154340837</v>
      </c>
      <c r="T315" s="42">
        <f t="shared" si="113"/>
        <v>47.448926045016066</v>
      </c>
      <c r="U315" s="42">
        <f t="shared" si="113"/>
        <v>0</v>
      </c>
      <c r="V315" s="42">
        <f t="shared" si="113"/>
        <v>0</v>
      </c>
      <c r="W315" s="42">
        <f t="shared" si="113"/>
        <v>0</v>
      </c>
      <c r="X315" s="42">
        <f t="shared" si="113"/>
        <v>0</v>
      </c>
      <c r="Y315" s="42">
        <f t="shared" si="113"/>
        <v>0</v>
      </c>
      <c r="Z315" s="42">
        <f t="shared" si="113"/>
        <v>0</v>
      </c>
      <c r="AA315" s="42">
        <f t="shared" si="113"/>
        <v>0</v>
      </c>
      <c r="AB315" s="42">
        <f t="shared" si="113"/>
        <v>0</v>
      </c>
      <c r="AC315" s="42">
        <f t="shared" si="113"/>
        <v>0</v>
      </c>
      <c r="AD315" s="42">
        <f t="shared" si="113"/>
        <v>0</v>
      </c>
    </row>
    <row r="316" spans="1:30">
      <c r="A316" s="13" t="s">
        <v>435</v>
      </c>
      <c r="B316" s="13" t="s">
        <v>82</v>
      </c>
      <c r="C316" s="44">
        <f>SUM(D316:AD316)</f>
        <v>12.215051577990058</v>
      </c>
      <c r="D316" s="42">
        <f t="shared" si="113"/>
        <v>0</v>
      </c>
      <c r="E316" s="42">
        <f t="shared" si="113"/>
        <v>0</v>
      </c>
      <c r="F316" s="42">
        <f t="shared" si="113"/>
        <v>1.3235728143303158</v>
      </c>
      <c r="G316" s="42">
        <f t="shared" si="113"/>
        <v>2.4870291819515886</v>
      </c>
      <c r="H316" s="42">
        <f t="shared" si="113"/>
        <v>2.6725609376620683</v>
      </c>
      <c r="I316" s="42">
        <f t="shared" si="113"/>
        <v>2.6725609376620683</v>
      </c>
      <c r="J316" s="42">
        <f t="shared" si="113"/>
        <v>2.7818467663682389</v>
      </c>
      <c r="K316" s="42">
        <f t="shared" si="113"/>
        <v>0.27748094001577939</v>
      </c>
      <c r="L316" s="42">
        <f t="shared" si="113"/>
        <v>0</v>
      </c>
      <c r="M316" s="42">
        <f t="shared" si="113"/>
        <v>0</v>
      </c>
      <c r="N316" s="42">
        <f t="shared" si="113"/>
        <v>0</v>
      </c>
      <c r="O316" s="42">
        <f t="shared" si="113"/>
        <v>0</v>
      </c>
      <c r="P316" s="42">
        <f t="shared" si="113"/>
        <v>0</v>
      </c>
      <c r="Q316" s="42">
        <f t="shared" si="113"/>
        <v>0</v>
      </c>
      <c r="R316" s="42">
        <f t="shared" si="113"/>
        <v>0</v>
      </c>
      <c r="S316" s="42">
        <f t="shared" si="113"/>
        <v>0</v>
      </c>
      <c r="T316" s="42">
        <f t="shared" si="113"/>
        <v>0</v>
      </c>
      <c r="U316" s="42">
        <f t="shared" si="113"/>
        <v>0</v>
      </c>
      <c r="V316" s="42">
        <f t="shared" si="113"/>
        <v>0</v>
      </c>
      <c r="W316" s="42">
        <f t="shared" si="113"/>
        <v>0</v>
      </c>
      <c r="X316" s="42">
        <f t="shared" si="113"/>
        <v>0</v>
      </c>
      <c r="Y316" s="42">
        <f t="shared" si="113"/>
        <v>0</v>
      </c>
      <c r="Z316" s="42">
        <f t="shared" si="113"/>
        <v>0</v>
      </c>
      <c r="AA316" s="42">
        <f t="shared" si="113"/>
        <v>0</v>
      </c>
      <c r="AB316" s="42">
        <f t="shared" si="113"/>
        <v>0</v>
      </c>
      <c r="AC316" s="42">
        <f t="shared" si="113"/>
        <v>0</v>
      </c>
      <c r="AD316" s="42">
        <f t="shared" si="113"/>
        <v>0</v>
      </c>
    </row>
    <row r="317" spans="1:30">
      <c r="A317" s="13" t="s">
        <v>264</v>
      </c>
      <c r="B317" s="13" t="s">
        <v>82</v>
      </c>
      <c r="C317" s="44">
        <f>SUM(D317:AD317)</f>
        <v>1027.6257887999998</v>
      </c>
      <c r="D317" s="42">
        <f t="shared" ref="D317:AD317" si="114">D303</f>
        <v>0</v>
      </c>
      <c r="E317" s="42">
        <f t="shared" si="114"/>
        <v>0</v>
      </c>
      <c r="F317" s="42">
        <f t="shared" si="114"/>
        <v>63.729637562130172</v>
      </c>
      <c r="G317" s="42">
        <f t="shared" si="114"/>
        <v>125.5298457301775</v>
      </c>
      <c r="H317" s="42">
        <f t="shared" si="114"/>
        <v>138.3342408</v>
      </c>
      <c r="I317" s="42">
        <f t="shared" si="114"/>
        <v>138.3342408</v>
      </c>
      <c r="J317" s="42">
        <f t="shared" si="114"/>
        <v>143.59632096568043</v>
      </c>
      <c r="K317" s="42">
        <f t="shared" si="114"/>
        <v>96.06219680236687</v>
      </c>
      <c r="L317" s="42">
        <f t="shared" si="114"/>
        <v>64.372780693491123</v>
      </c>
      <c r="M317" s="42">
        <f t="shared" si="114"/>
        <v>59.286103199999999</v>
      </c>
      <c r="N317" s="42">
        <f t="shared" si="114"/>
        <v>59.286103199999999</v>
      </c>
      <c r="O317" s="42">
        <f t="shared" si="114"/>
        <v>59.286103199999999</v>
      </c>
      <c r="P317" s="42">
        <f t="shared" si="114"/>
        <v>79.808215846153843</v>
      </c>
      <c r="Q317" s="42">
        <f t="shared" si="114"/>
        <v>0</v>
      </c>
      <c r="R317" s="42">
        <f t="shared" si="114"/>
        <v>0</v>
      </c>
      <c r="S317" s="42">
        <f t="shared" si="114"/>
        <v>0</v>
      </c>
      <c r="T317" s="42">
        <f t="shared" si="114"/>
        <v>0</v>
      </c>
      <c r="U317" s="42">
        <f t="shared" si="114"/>
        <v>0</v>
      </c>
      <c r="V317" s="42">
        <f t="shared" si="114"/>
        <v>0</v>
      </c>
      <c r="W317" s="42">
        <f t="shared" si="114"/>
        <v>0</v>
      </c>
      <c r="X317" s="42">
        <f t="shared" si="114"/>
        <v>0</v>
      </c>
      <c r="Y317" s="42">
        <f t="shared" si="114"/>
        <v>0</v>
      </c>
      <c r="Z317" s="42">
        <f t="shared" si="114"/>
        <v>0</v>
      </c>
      <c r="AA317" s="42">
        <f t="shared" si="114"/>
        <v>0</v>
      </c>
      <c r="AB317" s="42">
        <f t="shared" si="114"/>
        <v>0</v>
      </c>
      <c r="AC317" s="42">
        <f t="shared" si="114"/>
        <v>0</v>
      </c>
      <c r="AD317" s="42">
        <f t="shared" si="114"/>
        <v>0</v>
      </c>
    </row>
    <row r="318" spans="1:30">
      <c r="A318" s="13" t="s">
        <v>159</v>
      </c>
      <c r="B318" s="13" t="s">
        <v>82</v>
      </c>
      <c r="C318" s="44">
        <f>SUM(D318:AD318)</f>
        <v>1615.7488862021166</v>
      </c>
      <c r="D318" s="70">
        <f t="shared" ref="D318:AD318" si="115">SUM(D315:D317)</f>
        <v>0</v>
      </c>
      <c r="E318" s="70">
        <f t="shared" si="115"/>
        <v>0</v>
      </c>
      <c r="F318" s="70">
        <f t="shared" si="115"/>
        <v>85.570862985908917</v>
      </c>
      <c r="G318" s="70">
        <f t="shared" si="115"/>
        <v>166.57010011618547</v>
      </c>
      <c r="H318" s="70">
        <f t="shared" si="115"/>
        <v>182.43608791129552</v>
      </c>
      <c r="I318" s="70">
        <f t="shared" si="115"/>
        <v>182.43608791129552</v>
      </c>
      <c r="J318" s="70">
        <f t="shared" si="115"/>
        <v>189.5015720110494</v>
      </c>
      <c r="K318" s="70">
        <f t="shared" si="115"/>
        <v>134.98895600998793</v>
      </c>
      <c r="L318" s="70">
        <f t="shared" si="115"/>
        <v>102.95581599041901</v>
      </c>
      <c r="M318" s="70">
        <f t="shared" si="115"/>
        <v>98.084958505466233</v>
      </c>
      <c r="N318" s="70">
        <f t="shared" si="115"/>
        <v>98.084958505466233</v>
      </c>
      <c r="O318" s="70">
        <f t="shared" si="115"/>
        <v>98.084958505466233</v>
      </c>
      <c r="P318" s="70">
        <f t="shared" si="115"/>
        <v>118.80282663654154</v>
      </c>
      <c r="Q318" s="70">
        <f t="shared" si="115"/>
        <v>37.130710759337127</v>
      </c>
      <c r="R318" s="70">
        <f t="shared" si="115"/>
        <v>36.826032154340837</v>
      </c>
      <c r="S318" s="70">
        <f t="shared" si="115"/>
        <v>36.826032154340837</v>
      </c>
      <c r="T318" s="70">
        <f t="shared" si="115"/>
        <v>47.448926045016066</v>
      </c>
      <c r="U318" s="70">
        <f t="shared" si="115"/>
        <v>0</v>
      </c>
      <c r="V318" s="70">
        <f t="shared" si="115"/>
        <v>0</v>
      </c>
      <c r="W318" s="70">
        <f t="shared" si="115"/>
        <v>0</v>
      </c>
      <c r="X318" s="70">
        <f t="shared" si="115"/>
        <v>0</v>
      </c>
      <c r="Y318" s="70">
        <f t="shared" si="115"/>
        <v>0</v>
      </c>
      <c r="Z318" s="70">
        <f t="shared" si="115"/>
        <v>0</v>
      </c>
      <c r="AA318" s="70">
        <f t="shared" si="115"/>
        <v>0</v>
      </c>
      <c r="AB318" s="70">
        <f t="shared" si="115"/>
        <v>0</v>
      </c>
      <c r="AC318" s="70">
        <f t="shared" si="115"/>
        <v>0</v>
      </c>
      <c r="AD318" s="70">
        <f t="shared" si="115"/>
        <v>0</v>
      </c>
    </row>
    <row r="319" spans="1:30" ht="51" customHeight="1">
      <c r="A319" s="23" t="s">
        <v>397</v>
      </c>
      <c r="C319" s="42"/>
      <c r="D319" s="42"/>
      <c r="E319" s="42"/>
      <c r="F319" s="42"/>
      <c r="G319" s="42"/>
      <c r="H319" s="42"/>
      <c r="I319" s="42"/>
      <c r="J319" s="42"/>
      <c r="K319" s="42"/>
      <c r="L319" s="42"/>
      <c r="M319" s="42"/>
      <c r="N319" s="42"/>
      <c r="O319" s="42"/>
      <c r="P319" s="42"/>
      <c r="Q319" s="42"/>
      <c r="R319" s="42"/>
      <c r="S319" s="42"/>
      <c r="T319" s="42"/>
      <c r="U319" s="42"/>
      <c r="V319" s="42"/>
      <c r="W319" s="42"/>
      <c r="X319" s="42"/>
      <c r="Y319" s="42"/>
      <c r="Z319" s="42"/>
      <c r="AA319" s="42"/>
      <c r="AB319" s="42"/>
      <c r="AC319" s="42"/>
      <c r="AD319" s="42"/>
    </row>
    <row r="320" spans="1:30" outlineLevel="1">
      <c r="A320" s="144" t="str">
        <f>A$98</f>
        <v>Forex: A$ = US$  - Low Case</v>
      </c>
      <c r="B320" s="142" t="str">
        <f>B$98</f>
        <v>A$1.00 = US$ ....</v>
      </c>
      <c r="C320" s="57"/>
      <c r="D320" s="57">
        <f t="shared" ref="D320:AD320" si="116">D$98</f>
        <v>0.6</v>
      </c>
      <c r="E320" s="57">
        <f t="shared" si="116"/>
        <v>0.6</v>
      </c>
      <c r="F320" s="57">
        <f t="shared" si="116"/>
        <v>0.6</v>
      </c>
      <c r="G320" s="57">
        <f t="shared" si="116"/>
        <v>0.6</v>
      </c>
      <c r="H320" s="57">
        <f t="shared" si="116"/>
        <v>0.6</v>
      </c>
      <c r="I320" s="57">
        <f t="shared" si="116"/>
        <v>0.6</v>
      </c>
      <c r="J320" s="57">
        <f t="shared" si="116"/>
        <v>0.6</v>
      </c>
      <c r="K320" s="57">
        <f t="shared" si="116"/>
        <v>0.6</v>
      </c>
      <c r="L320" s="57">
        <f t="shared" si="116"/>
        <v>0.6</v>
      </c>
      <c r="M320" s="57">
        <f t="shared" si="116"/>
        <v>0.6</v>
      </c>
      <c r="N320" s="57">
        <f t="shared" si="116"/>
        <v>0.6</v>
      </c>
      <c r="O320" s="57">
        <f t="shared" si="116"/>
        <v>0.6</v>
      </c>
      <c r="P320" s="57">
        <f t="shared" si="116"/>
        <v>0.6</v>
      </c>
      <c r="Q320" s="57">
        <f t="shared" si="116"/>
        <v>0.6</v>
      </c>
      <c r="R320" s="57">
        <f t="shared" si="116"/>
        <v>0.6</v>
      </c>
      <c r="S320" s="57">
        <f t="shared" si="116"/>
        <v>0.6</v>
      </c>
      <c r="T320" s="57">
        <f t="shared" si="116"/>
        <v>0.6</v>
      </c>
      <c r="U320" s="57">
        <f t="shared" si="116"/>
        <v>0.6</v>
      </c>
      <c r="V320" s="57">
        <f t="shared" si="116"/>
        <v>0.6</v>
      </c>
      <c r="W320" s="57">
        <f t="shared" si="116"/>
        <v>0.6</v>
      </c>
      <c r="X320" s="57">
        <f t="shared" si="116"/>
        <v>0.6</v>
      </c>
      <c r="Y320" s="57">
        <f t="shared" si="116"/>
        <v>0.6</v>
      </c>
      <c r="Z320" s="57">
        <f t="shared" si="116"/>
        <v>0.6</v>
      </c>
      <c r="AA320" s="57">
        <f t="shared" si="116"/>
        <v>0.6</v>
      </c>
      <c r="AB320" s="57">
        <f t="shared" si="116"/>
        <v>0.6</v>
      </c>
      <c r="AC320" s="57">
        <f t="shared" si="116"/>
        <v>0.6</v>
      </c>
      <c r="AD320" s="57">
        <f t="shared" si="116"/>
        <v>0.6</v>
      </c>
    </row>
    <row r="321" spans="1:30" outlineLevel="1">
      <c r="A321" s="143" t="str">
        <f>"Revenue in A$ - "&amp;A3</f>
        <v>Revenue in A$ - Low Case</v>
      </c>
      <c r="B321" s="13" t="s">
        <v>285</v>
      </c>
      <c r="C321" s="42">
        <f>SUM(D321:AD321)</f>
        <v>11081.217260255004</v>
      </c>
      <c r="D321" s="42">
        <f t="shared" ref="D321:AD321" si="117">D306/D320</f>
        <v>0</v>
      </c>
      <c r="E321" s="42">
        <f t="shared" si="117"/>
        <v>0</v>
      </c>
      <c r="F321" s="42">
        <f t="shared" si="117"/>
        <v>438.25441116111557</v>
      </c>
      <c r="G321" s="42">
        <f t="shared" si="117"/>
        <v>833.12546347529621</v>
      </c>
      <c r="H321" s="42">
        <f t="shared" si="117"/>
        <v>901.00958149451617</v>
      </c>
      <c r="I321" s="42">
        <f t="shared" si="117"/>
        <v>901.00958149451617</v>
      </c>
      <c r="J321" s="42">
        <f t="shared" si="117"/>
        <v>937.19572553534215</v>
      </c>
      <c r="K321" s="42">
        <f t="shared" si="117"/>
        <v>786.35627332500565</v>
      </c>
      <c r="L321" s="42">
        <f t="shared" si="117"/>
        <v>734.38404519522169</v>
      </c>
      <c r="M321" s="42">
        <f t="shared" si="117"/>
        <v>729.4140055596564</v>
      </c>
      <c r="N321" s="42">
        <f t="shared" si="117"/>
        <v>729.4140055596564</v>
      </c>
      <c r="O321" s="42">
        <f t="shared" si="117"/>
        <v>729.4140055596564</v>
      </c>
      <c r="P321" s="42">
        <f t="shared" si="117"/>
        <v>766.16290734247025</v>
      </c>
      <c r="Q321" s="42">
        <f t="shared" si="117"/>
        <v>609.05567306253386</v>
      </c>
      <c r="R321" s="42">
        <f t="shared" si="117"/>
        <v>604.05802478058956</v>
      </c>
      <c r="S321" s="42">
        <f t="shared" si="117"/>
        <v>604.05802478058956</v>
      </c>
      <c r="T321" s="42">
        <f t="shared" si="117"/>
        <v>778.30553192883644</v>
      </c>
      <c r="U321" s="42">
        <f t="shared" si="117"/>
        <v>0</v>
      </c>
      <c r="V321" s="42">
        <f t="shared" si="117"/>
        <v>0</v>
      </c>
      <c r="W321" s="42">
        <f t="shared" si="117"/>
        <v>0</v>
      </c>
      <c r="X321" s="42">
        <f t="shared" si="117"/>
        <v>0</v>
      </c>
      <c r="Y321" s="42">
        <f t="shared" si="117"/>
        <v>0</v>
      </c>
      <c r="Z321" s="42">
        <f t="shared" si="117"/>
        <v>0</v>
      </c>
      <c r="AA321" s="42">
        <f t="shared" si="117"/>
        <v>0</v>
      </c>
      <c r="AB321" s="42">
        <f t="shared" si="117"/>
        <v>0</v>
      </c>
      <c r="AC321" s="42">
        <f t="shared" si="117"/>
        <v>0</v>
      </c>
      <c r="AD321" s="42">
        <f t="shared" si="117"/>
        <v>0</v>
      </c>
    </row>
    <row r="322" spans="1:30" outlineLevel="1">
      <c r="A322" s="69" t="s">
        <v>396</v>
      </c>
      <c r="C322" s="42"/>
      <c r="D322" s="42"/>
      <c r="E322" s="42"/>
      <c r="F322" s="42"/>
      <c r="G322" s="42"/>
      <c r="H322" s="42"/>
      <c r="I322" s="42"/>
      <c r="J322" s="42"/>
      <c r="K322" s="42"/>
      <c r="L322" s="42"/>
      <c r="M322" s="42"/>
      <c r="N322" s="42"/>
      <c r="O322" s="42"/>
      <c r="P322" s="42"/>
      <c r="Q322" s="42"/>
      <c r="R322" s="42"/>
      <c r="S322" s="42"/>
      <c r="T322" s="42"/>
      <c r="U322" s="42"/>
      <c r="V322" s="42"/>
      <c r="W322" s="42"/>
      <c r="X322" s="42"/>
      <c r="Y322" s="42"/>
      <c r="Z322" s="42"/>
      <c r="AA322" s="42"/>
      <c r="AB322" s="42"/>
      <c r="AC322" s="42"/>
      <c r="AD322" s="42"/>
    </row>
    <row r="323" spans="1:30" outlineLevel="1">
      <c r="A323" s="143" t="s">
        <v>392</v>
      </c>
      <c r="B323" s="13" t="s">
        <v>285</v>
      </c>
      <c r="C323" s="42">
        <f>SUM(D323:AD323)</f>
        <v>8388.3024499181411</v>
      </c>
      <c r="D323" s="42">
        <f t="shared" ref="D323:AD323" si="118">D313/D320</f>
        <v>0</v>
      </c>
      <c r="E323" s="42">
        <f t="shared" si="118"/>
        <v>0</v>
      </c>
      <c r="F323" s="42">
        <f t="shared" si="118"/>
        <v>295.63630618460064</v>
      </c>
      <c r="G323" s="42">
        <f t="shared" si="118"/>
        <v>555.50862994832039</v>
      </c>
      <c r="H323" s="42">
        <f t="shared" si="118"/>
        <v>596.94943497569034</v>
      </c>
      <c r="I323" s="42">
        <f t="shared" si="118"/>
        <v>596.94943497569034</v>
      </c>
      <c r="J323" s="42">
        <f t="shared" si="118"/>
        <v>621.35977218359301</v>
      </c>
      <c r="K323" s="42">
        <f t="shared" si="118"/>
        <v>561.37467997502586</v>
      </c>
      <c r="L323" s="42">
        <f t="shared" si="118"/>
        <v>562.79101854452324</v>
      </c>
      <c r="M323" s="42">
        <f t="shared" si="118"/>
        <v>565.93907471721263</v>
      </c>
      <c r="N323" s="42">
        <f t="shared" si="118"/>
        <v>565.93907471721263</v>
      </c>
      <c r="O323" s="42">
        <f t="shared" si="118"/>
        <v>565.93907471721263</v>
      </c>
      <c r="P323" s="42">
        <f t="shared" si="118"/>
        <v>568.1581962815676</v>
      </c>
      <c r="Q323" s="42">
        <f t="shared" si="118"/>
        <v>547.17115513030524</v>
      </c>
      <c r="R323" s="42">
        <f t="shared" si="118"/>
        <v>542.68130452335481</v>
      </c>
      <c r="S323" s="42">
        <f t="shared" si="118"/>
        <v>542.68130452335481</v>
      </c>
      <c r="T323" s="42">
        <f t="shared" si="118"/>
        <v>699.22398852047638</v>
      </c>
      <c r="U323" s="42">
        <f t="shared" si="118"/>
        <v>0</v>
      </c>
      <c r="V323" s="42">
        <f t="shared" si="118"/>
        <v>0</v>
      </c>
      <c r="W323" s="42">
        <f t="shared" si="118"/>
        <v>0</v>
      </c>
      <c r="X323" s="42">
        <f t="shared" si="118"/>
        <v>0</v>
      </c>
      <c r="Y323" s="42">
        <f t="shared" si="118"/>
        <v>0</v>
      </c>
      <c r="Z323" s="42">
        <f t="shared" si="118"/>
        <v>0</v>
      </c>
      <c r="AA323" s="42">
        <f t="shared" si="118"/>
        <v>0</v>
      </c>
      <c r="AB323" s="42">
        <f t="shared" si="118"/>
        <v>0</v>
      </c>
      <c r="AC323" s="42">
        <f t="shared" si="118"/>
        <v>0</v>
      </c>
      <c r="AD323" s="42">
        <f t="shared" si="118"/>
        <v>0</v>
      </c>
    </row>
    <row r="324" spans="1:30" outlineLevel="1">
      <c r="A324" s="143" t="s">
        <v>393</v>
      </c>
      <c r="B324" s="13" t="s">
        <v>285</v>
      </c>
      <c r="C324" s="42">
        <f t="shared" ref="C324:C326" si="119">SUM(D324:AD324)</f>
        <v>959.84674304021155</v>
      </c>
      <c r="D324" s="42">
        <f t="shared" ref="D324:AD324" si="120">D315/D320</f>
        <v>0</v>
      </c>
      <c r="E324" s="42">
        <f t="shared" si="120"/>
        <v>0</v>
      </c>
      <c r="F324" s="42">
        <f t="shared" si="120"/>
        <v>34.196087682414046</v>
      </c>
      <c r="G324" s="42">
        <f t="shared" si="120"/>
        <v>64.255375340093991</v>
      </c>
      <c r="H324" s="42">
        <f t="shared" si="120"/>
        <v>69.048810289389067</v>
      </c>
      <c r="I324" s="42">
        <f t="shared" si="120"/>
        <v>69.048810289389067</v>
      </c>
      <c r="J324" s="42">
        <f t="shared" si="120"/>
        <v>71.872340465001216</v>
      </c>
      <c r="K324" s="42">
        <f t="shared" si="120"/>
        <v>64.415463779342119</v>
      </c>
      <c r="L324" s="42">
        <f t="shared" si="120"/>
        <v>64.305058828213134</v>
      </c>
      <c r="M324" s="42">
        <f t="shared" si="120"/>
        <v>64.664758842443732</v>
      </c>
      <c r="N324" s="42">
        <f t="shared" si="120"/>
        <v>64.664758842443732</v>
      </c>
      <c r="O324" s="42">
        <f t="shared" si="120"/>
        <v>64.664758842443732</v>
      </c>
      <c r="P324" s="42">
        <f t="shared" si="120"/>
        <v>64.991017983979503</v>
      </c>
      <c r="Q324" s="42">
        <f t="shared" si="120"/>
        <v>61.884517932228547</v>
      </c>
      <c r="R324" s="42">
        <f t="shared" si="120"/>
        <v>61.37672025723473</v>
      </c>
      <c r="S324" s="42">
        <f t="shared" si="120"/>
        <v>61.37672025723473</v>
      </c>
      <c r="T324" s="42">
        <f t="shared" si="120"/>
        <v>79.081543408360119</v>
      </c>
      <c r="U324" s="42">
        <f t="shared" si="120"/>
        <v>0</v>
      </c>
      <c r="V324" s="42">
        <f t="shared" si="120"/>
        <v>0</v>
      </c>
      <c r="W324" s="42">
        <f t="shared" si="120"/>
        <v>0</v>
      </c>
      <c r="X324" s="42">
        <f t="shared" si="120"/>
        <v>0</v>
      </c>
      <c r="Y324" s="42">
        <f t="shared" si="120"/>
        <v>0</v>
      </c>
      <c r="Z324" s="42">
        <f t="shared" si="120"/>
        <v>0</v>
      </c>
      <c r="AA324" s="42">
        <f t="shared" si="120"/>
        <v>0</v>
      </c>
      <c r="AB324" s="42">
        <f t="shared" si="120"/>
        <v>0</v>
      </c>
      <c r="AC324" s="42">
        <f t="shared" si="120"/>
        <v>0</v>
      </c>
      <c r="AD324" s="42">
        <f t="shared" si="120"/>
        <v>0</v>
      </c>
    </row>
    <row r="325" spans="1:30" outlineLevel="1">
      <c r="A325" s="143" t="s">
        <v>394</v>
      </c>
      <c r="B325" s="13" t="s">
        <v>285</v>
      </c>
      <c r="C325" s="42">
        <f t="shared" si="119"/>
        <v>20.358419296650101</v>
      </c>
      <c r="D325" s="42">
        <f t="shared" ref="D325:AD325" si="121">D316/D320</f>
        <v>0</v>
      </c>
      <c r="E325" s="42">
        <f t="shared" si="121"/>
        <v>0</v>
      </c>
      <c r="F325" s="42">
        <f t="shared" si="121"/>
        <v>2.2059546905505263</v>
      </c>
      <c r="G325" s="42">
        <f t="shared" si="121"/>
        <v>4.1450486365859813</v>
      </c>
      <c r="H325" s="42">
        <f t="shared" si="121"/>
        <v>4.4542682294367806</v>
      </c>
      <c r="I325" s="42">
        <f t="shared" si="121"/>
        <v>4.4542682294367806</v>
      </c>
      <c r="J325" s="42">
        <f t="shared" si="121"/>
        <v>4.6364112772803985</v>
      </c>
      <c r="K325" s="42">
        <f t="shared" si="121"/>
        <v>0.46246823335963233</v>
      </c>
      <c r="L325" s="42">
        <f t="shared" si="121"/>
        <v>0</v>
      </c>
      <c r="M325" s="42">
        <f t="shared" si="121"/>
        <v>0</v>
      </c>
      <c r="N325" s="42">
        <f t="shared" si="121"/>
        <v>0</v>
      </c>
      <c r="O325" s="42">
        <f t="shared" si="121"/>
        <v>0</v>
      </c>
      <c r="P325" s="42">
        <f t="shared" si="121"/>
        <v>0</v>
      </c>
      <c r="Q325" s="42">
        <f t="shared" si="121"/>
        <v>0</v>
      </c>
      <c r="R325" s="42">
        <f t="shared" si="121"/>
        <v>0</v>
      </c>
      <c r="S325" s="42">
        <f t="shared" si="121"/>
        <v>0</v>
      </c>
      <c r="T325" s="42">
        <f t="shared" si="121"/>
        <v>0</v>
      </c>
      <c r="U325" s="42">
        <f t="shared" si="121"/>
        <v>0</v>
      </c>
      <c r="V325" s="42">
        <f t="shared" si="121"/>
        <v>0</v>
      </c>
      <c r="W325" s="42">
        <f t="shared" si="121"/>
        <v>0</v>
      </c>
      <c r="X325" s="42">
        <f t="shared" si="121"/>
        <v>0</v>
      </c>
      <c r="Y325" s="42">
        <f t="shared" si="121"/>
        <v>0</v>
      </c>
      <c r="Z325" s="42">
        <f t="shared" si="121"/>
        <v>0</v>
      </c>
      <c r="AA325" s="42">
        <f t="shared" si="121"/>
        <v>0</v>
      </c>
      <c r="AB325" s="42">
        <f t="shared" si="121"/>
        <v>0</v>
      </c>
      <c r="AC325" s="42">
        <f t="shared" si="121"/>
        <v>0</v>
      </c>
      <c r="AD325" s="42">
        <f t="shared" si="121"/>
        <v>0</v>
      </c>
    </row>
    <row r="326" spans="1:30" outlineLevel="1">
      <c r="A326" s="143" t="s">
        <v>395</v>
      </c>
      <c r="B326" s="13" t="s">
        <v>285</v>
      </c>
      <c r="C326" s="42">
        <f t="shared" si="119"/>
        <v>1712.7096479999998</v>
      </c>
      <c r="D326" s="42">
        <f t="shared" ref="D326:AD326" si="122">D317/D320</f>
        <v>0</v>
      </c>
      <c r="E326" s="42">
        <f t="shared" si="122"/>
        <v>0</v>
      </c>
      <c r="F326" s="42">
        <f t="shared" si="122"/>
        <v>106.21606260355028</v>
      </c>
      <c r="G326" s="42">
        <f t="shared" si="122"/>
        <v>209.21640955029585</v>
      </c>
      <c r="H326" s="42">
        <f t="shared" si="122"/>
        <v>230.55706800000002</v>
      </c>
      <c r="I326" s="42">
        <f t="shared" si="122"/>
        <v>230.55706800000002</v>
      </c>
      <c r="J326" s="42">
        <f t="shared" si="122"/>
        <v>239.32720160946741</v>
      </c>
      <c r="K326" s="42">
        <f t="shared" si="122"/>
        <v>160.10366133727811</v>
      </c>
      <c r="L326" s="42">
        <f t="shared" si="122"/>
        <v>107.28796782248521</v>
      </c>
      <c r="M326" s="42">
        <f t="shared" si="122"/>
        <v>98.810172000000009</v>
      </c>
      <c r="N326" s="42">
        <f t="shared" si="122"/>
        <v>98.810172000000009</v>
      </c>
      <c r="O326" s="42">
        <f t="shared" si="122"/>
        <v>98.810172000000009</v>
      </c>
      <c r="P326" s="42">
        <f t="shared" si="122"/>
        <v>133.01369307692309</v>
      </c>
      <c r="Q326" s="42">
        <f t="shared" si="122"/>
        <v>0</v>
      </c>
      <c r="R326" s="42">
        <f t="shared" si="122"/>
        <v>0</v>
      </c>
      <c r="S326" s="42">
        <f t="shared" si="122"/>
        <v>0</v>
      </c>
      <c r="T326" s="42">
        <f t="shared" si="122"/>
        <v>0</v>
      </c>
      <c r="U326" s="42">
        <f t="shared" si="122"/>
        <v>0</v>
      </c>
      <c r="V326" s="42">
        <f t="shared" si="122"/>
        <v>0</v>
      </c>
      <c r="W326" s="42">
        <f t="shared" si="122"/>
        <v>0</v>
      </c>
      <c r="X326" s="42">
        <f t="shared" si="122"/>
        <v>0</v>
      </c>
      <c r="Y326" s="42">
        <f t="shared" si="122"/>
        <v>0</v>
      </c>
      <c r="Z326" s="42">
        <f t="shared" si="122"/>
        <v>0</v>
      </c>
      <c r="AA326" s="42">
        <f t="shared" si="122"/>
        <v>0</v>
      </c>
      <c r="AB326" s="42">
        <f t="shared" si="122"/>
        <v>0</v>
      </c>
      <c r="AC326" s="42">
        <f t="shared" si="122"/>
        <v>0</v>
      </c>
      <c r="AD326" s="42">
        <f t="shared" si="122"/>
        <v>0</v>
      </c>
    </row>
    <row r="327" spans="1:30" ht="51" customHeight="1">
      <c r="A327" s="23" t="s">
        <v>94</v>
      </c>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c r="AA327" s="42"/>
      <c r="AB327" s="42"/>
      <c r="AC327" s="42"/>
      <c r="AD327" s="42"/>
    </row>
    <row r="328" spans="1:30" outlineLevel="1">
      <c r="A328" s="13" t="str">
        <f>A321</f>
        <v>Revenue in A$ - Low Case</v>
      </c>
      <c r="B328" s="13" t="str">
        <f>B321</f>
        <v>A$ million Real</v>
      </c>
      <c r="C328" s="42">
        <f>SUM(D328:AD328)</f>
        <v>11081.217260255004</v>
      </c>
      <c r="D328" s="42">
        <f t="shared" ref="D328:AD328" si="123">D321</f>
        <v>0</v>
      </c>
      <c r="E328" s="42">
        <f t="shared" si="123"/>
        <v>0</v>
      </c>
      <c r="F328" s="42">
        <f t="shared" si="123"/>
        <v>438.25441116111557</v>
      </c>
      <c r="G328" s="42">
        <f t="shared" si="123"/>
        <v>833.12546347529621</v>
      </c>
      <c r="H328" s="42">
        <f t="shared" si="123"/>
        <v>901.00958149451617</v>
      </c>
      <c r="I328" s="42">
        <f t="shared" si="123"/>
        <v>901.00958149451617</v>
      </c>
      <c r="J328" s="42">
        <f t="shared" si="123"/>
        <v>937.19572553534215</v>
      </c>
      <c r="K328" s="42">
        <f t="shared" si="123"/>
        <v>786.35627332500565</v>
      </c>
      <c r="L328" s="42">
        <f t="shared" si="123"/>
        <v>734.38404519522169</v>
      </c>
      <c r="M328" s="42">
        <f t="shared" si="123"/>
        <v>729.4140055596564</v>
      </c>
      <c r="N328" s="42">
        <f t="shared" si="123"/>
        <v>729.4140055596564</v>
      </c>
      <c r="O328" s="42">
        <f t="shared" si="123"/>
        <v>729.4140055596564</v>
      </c>
      <c r="P328" s="42">
        <f t="shared" si="123"/>
        <v>766.16290734247025</v>
      </c>
      <c r="Q328" s="42">
        <f t="shared" si="123"/>
        <v>609.05567306253386</v>
      </c>
      <c r="R328" s="42">
        <f t="shared" si="123"/>
        <v>604.05802478058956</v>
      </c>
      <c r="S328" s="42">
        <f t="shared" si="123"/>
        <v>604.05802478058956</v>
      </c>
      <c r="T328" s="42">
        <f t="shared" si="123"/>
        <v>778.30553192883644</v>
      </c>
      <c r="U328" s="42">
        <f t="shared" si="123"/>
        <v>0</v>
      </c>
      <c r="V328" s="42">
        <f t="shared" si="123"/>
        <v>0</v>
      </c>
      <c r="W328" s="42">
        <f t="shared" si="123"/>
        <v>0</v>
      </c>
      <c r="X328" s="42">
        <f t="shared" si="123"/>
        <v>0</v>
      </c>
      <c r="Y328" s="42">
        <f t="shared" si="123"/>
        <v>0</v>
      </c>
      <c r="Z328" s="42">
        <f t="shared" si="123"/>
        <v>0</v>
      </c>
      <c r="AA328" s="42">
        <f t="shared" si="123"/>
        <v>0</v>
      </c>
      <c r="AB328" s="42">
        <f t="shared" si="123"/>
        <v>0</v>
      </c>
      <c r="AC328" s="42">
        <f t="shared" si="123"/>
        <v>0</v>
      </c>
      <c r="AD328" s="42">
        <f t="shared" si="123"/>
        <v>0</v>
      </c>
    </row>
    <row r="329" spans="1:30" outlineLevel="1">
      <c r="A329" s="45" t="str">
        <f>A640</f>
        <v>Product Logistics - copper &amp; moly</v>
      </c>
      <c r="B329" s="45" t="str">
        <f>B640</f>
        <v>A$ millions Real</v>
      </c>
      <c r="C329" s="42">
        <f>SUM(D329:AD329)</f>
        <v>153.35102746480584</v>
      </c>
      <c r="D329" s="42">
        <f t="shared" ref="D329:AD329" si="124">D640</f>
        <v>0</v>
      </c>
      <c r="E329" s="42">
        <f t="shared" si="124"/>
        <v>0</v>
      </c>
      <c r="F329" s="42">
        <f t="shared" si="124"/>
        <v>5.2044789421992395</v>
      </c>
      <c r="G329" s="42">
        <f t="shared" si="124"/>
        <v>9.8712189195069602</v>
      </c>
      <c r="H329" s="42">
        <f t="shared" si="124"/>
        <v>10.698605487530791</v>
      </c>
      <c r="I329" s="42">
        <f t="shared" si="124"/>
        <v>10.779474083950575</v>
      </c>
      <c r="J329" s="42">
        <f t="shared" si="124"/>
        <v>11.3039929518863</v>
      </c>
      <c r="K329" s="42">
        <f t="shared" si="124"/>
        <v>10.179126559176936</v>
      </c>
      <c r="L329" s="42">
        <f t="shared" si="124"/>
        <v>10.1758325055934</v>
      </c>
      <c r="M329" s="42">
        <f t="shared" si="124"/>
        <v>10.292061415768011</v>
      </c>
      <c r="N329" s="42">
        <f t="shared" si="124"/>
        <v>10.370300661401743</v>
      </c>
      <c r="O329" s="42">
        <f t="shared" si="124"/>
        <v>10.449322299491811</v>
      </c>
      <c r="P329" s="42">
        <f t="shared" si="124"/>
        <v>10.64070715196846</v>
      </c>
      <c r="Q329" s="42">
        <f t="shared" si="124"/>
        <v>10.057410140265899</v>
      </c>
      <c r="R329" s="42">
        <f t="shared" si="124"/>
        <v>10.051027901135019</v>
      </c>
      <c r="S329" s="42">
        <f t="shared" si="124"/>
        <v>10.127933879071101</v>
      </c>
      <c r="T329" s="42">
        <f t="shared" si="124"/>
        <v>13.149534565859582</v>
      </c>
      <c r="U329" s="42">
        <f t="shared" si="124"/>
        <v>0</v>
      </c>
      <c r="V329" s="42">
        <f t="shared" si="124"/>
        <v>0</v>
      </c>
      <c r="W329" s="42">
        <f t="shared" si="124"/>
        <v>0</v>
      </c>
      <c r="X329" s="42">
        <f t="shared" si="124"/>
        <v>0</v>
      </c>
      <c r="Y329" s="42">
        <f t="shared" si="124"/>
        <v>0</v>
      </c>
      <c r="Z329" s="42">
        <f t="shared" si="124"/>
        <v>0</v>
      </c>
      <c r="AA329" s="42">
        <f t="shared" si="124"/>
        <v>0</v>
      </c>
      <c r="AB329" s="42">
        <f t="shared" si="124"/>
        <v>0</v>
      </c>
      <c r="AC329" s="42">
        <f t="shared" si="124"/>
        <v>0</v>
      </c>
      <c r="AD329" s="42">
        <f t="shared" si="124"/>
        <v>0</v>
      </c>
    </row>
    <row r="330" spans="1:30" s="14" customFormat="1" outlineLevel="1">
      <c r="A330" s="14" t="s">
        <v>398</v>
      </c>
      <c r="B330" s="14" t="s">
        <v>284</v>
      </c>
      <c r="C330" s="44">
        <f>SUM(D330:AD330)</f>
        <v>10927.866232790198</v>
      </c>
      <c r="D330" s="55">
        <f t="shared" ref="D330:AD330" si="125">MAX(0,D328-D329)</f>
        <v>0</v>
      </c>
      <c r="E330" s="55">
        <f t="shared" si="125"/>
        <v>0</v>
      </c>
      <c r="F330" s="55">
        <f t="shared" si="125"/>
        <v>433.04993221891635</v>
      </c>
      <c r="G330" s="55">
        <f t="shared" si="125"/>
        <v>823.25424455578923</v>
      </c>
      <c r="H330" s="55">
        <f t="shared" si="125"/>
        <v>890.31097600698536</v>
      </c>
      <c r="I330" s="55">
        <f t="shared" si="125"/>
        <v>890.23010741056555</v>
      </c>
      <c r="J330" s="55">
        <f t="shared" si="125"/>
        <v>925.89173258345591</v>
      </c>
      <c r="K330" s="55">
        <f t="shared" si="125"/>
        <v>776.17714676582875</v>
      </c>
      <c r="L330" s="55">
        <f t="shared" si="125"/>
        <v>724.20821268962834</v>
      </c>
      <c r="M330" s="55">
        <f t="shared" si="125"/>
        <v>719.12194414388841</v>
      </c>
      <c r="N330" s="55">
        <f t="shared" si="125"/>
        <v>719.04370489825465</v>
      </c>
      <c r="O330" s="55">
        <f t="shared" si="125"/>
        <v>718.96468326016463</v>
      </c>
      <c r="P330" s="55">
        <f t="shared" si="125"/>
        <v>755.52220019050174</v>
      </c>
      <c r="Q330" s="55">
        <f t="shared" si="125"/>
        <v>598.99826292226794</v>
      </c>
      <c r="R330" s="55">
        <f t="shared" si="125"/>
        <v>594.0069968794545</v>
      </c>
      <c r="S330" s="55">
        <f t="shared" si="125"/>
        <v>593.9300909015185</v>
      </c>
      <c r="T330" s="55">
        <f t="shared" si="125"/>
        <v>765.1559973629769</v>
      </c>
      <c r="U330" s="55">
        <f t="shared" si="125"/>
        <v>0</v>
      </c>
      <c r="V330" s="55">
        <f t="shared" si="125"/>
        <v>0</v>
      </c>
      <c r="W330" s="55">
        <f t="shared" si="125"/>
        <v>0</v>
      </c>
      <c r="X330" s="55">
        <f t="shared" si="125"/>
        <v>0</v>
      </c>
      <c r="Y330" s="55">
        <f t="shared" si="125"/>
        <v>0</v>
      </c>
      <c r="Z330" s="55">
        <f t="shared" si="125"/>
        <v>0</v>
      </c>
      <c r="AA330" s="55">
        <f t="shared" si="125"/>
        <v>0</v>
      </c>
      <c r="AB330" s="55">
        <f t="shared" si="125"/>
        <v>0</v>
      </c>
      <c r="AC330" s="55">
        <f t="shared" si="125"/>
        <v>0</v>
      </c>
      <c r="AD330" s="55">
        <f t="shared" si="125"/>
        <v>0</v>
      </c>
    </row>
    <row r="331" spans="1:30" outlineLevel="1">
      <c r="C331" s="91"/>
      <c r="D331" s="42"/>
      <c r="E331" s="42"/>
      <c r="F331" s="42"/>
      <c r="G331" s="42"/>
      <c r="H331" s="42"/>
      <c r="I331" s="42"/>
      <c r="J331" s="42"/>
      <c r="K331" s="42"/>
      <c r="L331" s="42"/>
      <c r="M331" s="42"/>
      <c r="N331" s="42"/>
      <c r="O331" s="42"/>
      <c r="P331" s="42"/>
      <c r="Q331" s="42"/>
      <c r="R331" s="42"/>
      <c r="S331" s="42"/>
      <c r="T331" s="42"/>
      <c r="U331" s="42"/>
      <c r="V331" s="42"/>
      <c r="W331" s="42"/>
      <c r="X331" s="42"/>
      <c r="Y331" s="42"/>
      <c r="Z331" s="42"/>
      <c r="AA331" s="42"/>
      <c r="AB331" s="42"/>
      <c r="AC331" s="42"/>
      <c r="AD331" s="42"/>
    </row>
    <row r="332" spans="1:30" s="8" customFormat="1" ht="15.5" outlineLevel="1">
      <c r="A332" s="242" t="str">
        <f>'Expected NPV &amp; Common Data'!A$36</f>
        <v>Calendar Year --&gt;</v>
      </c>
      <c r="B332" s="243" t="str">
        <f>'Expected NPV &amp; Common Data'!B$36</f>
        <v>units</v>
      </c>
      <c r="C332" s="244" t="str">
        <f>'Expected NPV &amp; Common Data'!C$36</f>
        <v>Total</v>
      </c>
      <c r="D332" s="245">
        <f>'Expected NPV &amp; Common Data'!D$36</f>
        <v>2027</v>
      </c>
      <c r="E332" s="245">
        <f>'Expected NPV &amp; Common Data'!E$36</f>
        <v>2028</v>
      </c>
      <c r="F332" s="245">
        <f>'Expected NPV &amp; Common Data'!F$36</f>
        <v>2029</v>
      </c>
      <c r="G332" s="245">
        <f>'Expected NPV &amp; Common Data'!G$36</f>
        <v>2030</v>
      </c>
      <c r="H332" s="245">
        <f>'Expected NPV &amp; Common Data'!H$36</f>
        <v>2031</v>
      </c>
      <c r="I332" s="245">
        <f>'Expected NPV &amp; Common Data'!I$36</f>
        <v>2032</v>
      </c>
      <c r="J332" s="245">
        <f>'Expected NPV &amp; Common Data'!J$36</f>
        <v>2033</v>
      </c>
      <c r="K332" s="245">
        <f>'Expected NPV &amp; Common Data'!K$36</f>
        <v>2034</v>
      </c>
      <c r="L332" s="245">
        <f>'Expected NPV &amp; Common Data'!L$36</f>
        <v>2035</v>
      </c>
      <c r="M332" s="245">
        <f>'Expected NPV &amp; Common Data'!M$36</f>
        <v>2036</v>
      </c>
      <c r="N332" s="245">
        <f>'Expected NPV &amp; Common Data'!N$36</f>
        <v>2037</v>
      </c>
      <c r="O332" s="245">
        <f>'Expected NPV &amp; Common Data'!O$36</f>
        <v>2038</v>
      </c>
      <c r="P332" s="245">
        <f>'Expected NPV &amp; Common Data'!P$36</f>
        <v>2039</v>
      </c>
      <c r="Q332" s="245">
        <f>'Expected NPV &amp; Common Data'!Q$36</f>
        <v>2040</v>
      </c>
      <c r="R332" s="245">
        <f>'Expected NPV &amp; Common Data'!R$36</f>
        <v>2041</v>
      </c>
      <c r="S332" s="245">
        <f>'Expected NPV &amp; Common Data'!S$36</f>
        <v>2042</v>
      </c>
      <c r="T332" s="245">
        <f>'Expected NPV &amp; Common Data'!T$36</f>
        <v>2043</v>
      </c>
      <c r="U332" s="245">
        <f>'Expected NPV &amp; Common Data'!U$36</f>
        <v>2044</v>
      </c>
      <c r="V332" s="245">
        <f>'Expected NPV &amp; Common Data'!V$36</f>
        <v>2045</v>
      </c>
      <c r="W332" s="245">
        <f>'Expected NPV &amp; Common Data'!W$36</f>
        <v>2046</v>
      </c>
      <c r="X332" s="245">
        <f>'Expected NPV &amp; Common Data'!X$36</f>
        <v>2047</v>
      </c>
      <c r="Y332" s="245">
        <f>'Expected NPV &amp; Common Data'!Y$36</f>
        <v>2048</v>
      </c>
      <c r="Z332" s="245">
        <f>'Expected NPV &amp; Common Data'!Z$36</f>
        <v>2049</v>
      </c>
      <c r="AA332" s="245">
        <f>'Expected NPV &amp; Common Data'!AA$36</f>
        <v>2050</v>
      </c>
      <c r="AB332" s="245">
        <f>'Expected NPV &amp; Common Data'!AB$36</f>
        <v>2051</v>
      </c>
      <c r="AC332" s="245">
        <f>'Expected NPV &amp; Common Data'!AC$36</f>
        <v>2052</v>
      </c>
      <c r="AD332" s="245">
        <f>'Expected NPV &amp; Common Data'!AD$36</f>
        <v>2053</v>
      </c>
    </row>
    <row r="333" spans="1:30" s="32" customFormat="1" ht="53.25" customHeight="1">
      <c r="A333" s="21" t="s">
        <v>12</v>
      </c>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c r="AD333" s="33"/>
    </row>
    <row r="334" spans="1:30" ht="28.25" customHeight="1" outlineLevel="1">
      <c r="A334" s="23" t="s">
        <v>286</v>
      </c>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row>
    <row r="335" spans="1:30" s="134" customFormat="1" outlineLevel="1">
      <c r="A335" s="134" t="s">
        <v>550</v>
      </c>
      <c r="C335" s="259"/>
      <c r="D335" s="259"/>
      <c r="E335" s="259"/>
      <c r="F335" s="259"/>
      <c r="G335" s="259"/>
      <c r="H335" s="259"/>
      <c r="I335" s="259"/>
      <c r="J335" s="259"/>
      <c r="K335" s="259"/>
      <c r="L335" s="259"/>
      <c r="M335" s="259"/>
      <c r="N335" s="259"/>
      <c r="O335" s="259"/>
      <c r="P335" s="259"/>
      <c r="Q335" s="259"/>
      <c r="R335" s="259"/>
      <c r="S335" s="259"/>
      <c r="T335" s="259"/>
      <c r="U335" s="259"/>
      <c r="V335" s="259"/>
      <c r="W335" s="259"/>
      <c r="X335" s="259"/>
      <c r="Y335" s="259"/>
      <c r="Z335" s="259"/>
      <c r="AA335" s="259"/>
      <c r="AB335" s="259"/>
      <c r="AC335" s="259"/>
      <c r="AD335" s="259"/>
    </row>
    <row r="336" spans="1:30" s="265" customFormat="1" outlineLevel="1">
      <c r="A336" s="265" t="s">
        <v>580</v>
      </c>
      <c r="C336" s="266"/>
      <c r="D336" s="266"/>
      <c r="E336" s="266"/>
      <c r="F336" s="266"/>
      <c r="G336" s="266"/>
      <c r="H336" s="266"/>
      <c r="I336" s="266"/>
      <c r="J336" s="266"/>
      <c r="K336" s="266"/>
      <c r="L336" s="266"/>
      <c r="M336" s="266"/>
      <c r="N336" s="266"/>
      <c r="O336" s="266"/>
      <c r="P336" s="266"/>
      <c r="Q336" s="266"/>
      <c r="R336" s="266"/>
      <c r="S336" s="266"/>
      <c r="T336" s="266"/>
      <c r="U336" s="266"/>
      <c r="V336" s="266"/>
      <c r="W336" s="266"/>
      <c r="X336" s="266"/>
      <c r="Y336" s="266"/>
      <c r="Z336" s="266"/>
      <c r="AA336" s="266"/>
      <c r="AB336" s="266"/>
      <c r="AC336" s="266"/>
      <c r="AD336" s="266"/>
    </row>
    <row r="337" spans="1:30" s="265" customFormat="1" outlineLevel="1">
      <c r="A337" s="265" t="s">
        <v>581</v>
      </c>
      <c r="C337" s="266"/>
      <c r="D337" s="266"/>
      <c r="E337" s="266"/>
      <c r="F337" s="266"/>
      <c r="G337" s="266"/>
      <c r="H337" s="266"/>
      <c r="I337" s="266"/>
      <c r="J337" s="266"/>
      <c r="K337" s="266"/>
      <c r="L337" s="266"/>
      <c r="M337" s="266"/>
      <c r="N337" s="266"/>
      <c r="O337" s="266"/>
      <c r="P337" s="266"/>
      <c r="Q337" s="266"/>
      <c r="R337" s="266"/>
      <c r="S337" s="266"/>
      <c r="T337" s="266"/>
      <c r="U337" s="266"/>
      <c r="V337" s="266"/>
      <c r="W337" s="266"/>
      <c r="X337" s="266"/>
      <c r="Y337" s="266"/>
      <c r="Z337" s="266"/>
      <c r="AA337" s="266"/>
      <c r="AB337" s="266"/>
      <c r="AC337" s="266"/>
      <c r="AD337" s="266"/>
    </row>
    <row r="338" spans="1:30" outlineLevel="1">
      <c r="A338" s="214" t="s">
        <v>440</v>
      </c>
      <c r="B338" s="13" t="s">
        <v>285</v>
      </c>
      <c r="C338" s="44">
        <f t="shared" ref="C338:C346" si="126">SUM(D338:AD338)</f>
        <v>40</v>
      </c>
      <c r="D338" s="219">
        <v>10</v>
      </c>
      <c r="E338" s="219">
        <v>30</v>
      </c>
      <c r="F338" s="219"/>
      <c r="G338" s="141"/>
    </row>
    <row r="339" spans="1:30" outlineLevel="1">
      <c r="A339" s="214" t="s">
        <v>266</v>
      </c>
      <c r="B339" s="13" t="s">
        <v>285</v>
      </c>
      <c r="C339" s="44">
        <f t="shared" ref="C339" si="127">SUM(D339:AD339)</f>
        <v>210</v>
      </c>
      <c r="D339" s="219">
        <v>100</v>
      </c>
      <c r="E339" s="219">
        <v>100</v>
      </c>
      <c r="F339" s="219">
        <v>10</v>
      </c>
      <c r="G339" s="141"/>
    </row>
    <row r="340" spans="1:30" outlineLevel="1">
      <c r="A340" s="214" t="s">
        <v>267</v>
      </c>
      <c r="B340" s="13" t="s">
        <v>285</v>
      </c>
      <c r="C340" s="44">
        <f t="shared" si="126"/>
        <v>720</v>
      </c>
      <c r="D340" s="219">
        <v>200</v>
      </c>
      <c r="E340" s="219">
        <v>500</v>
      </c>
      <c r="F340" s="219">
        <v>20</v>
      </c>
      <c r="G340" s="141"/>
    </row>
    <row r="341" spans="1:30" outlineLevel="1">
      <c r="A341" s="214" t="s">
        <v>269</v>
      </c>
      <c r="B341" s="13" t="s">
        <v>285</v>
      </c>
      <c r="C341" s="44">
        <f t="shared" si="126"/>
        <v>208</v>
      </c>
      <c r="D341" s="219">
        <v>50</v>
      </c>
      <c r="E341" s="219">
        <v>150</v>
      </c>
      <c r="F341" s="219">
        <v>8</v>
      </c>
      <c r="G341" s="141"/>
    </row>
    <row r="342" spans="1:30" outlineLevel="1">
      <c r="A342" s="214" t="s">
        <v>270</v>
      </c>
      <c r="B342" s="13" t="s">
        <v>285</v>
      </c>
      <c r="C342" s="44">
        <f t="shared" si="126"/>
        <v>12</v>
      </c>
      <c r="D342" s="219"/>
      <c r="E342" s="219"/>
      <c r="F342" s="219">
        <v>12</v>
      </c>
      <c r="G342" s="141"/>
    </row>
    <row r="343" spans="1:30" outlineLevel="1">
      <c r="A343" s="214" t="s">
        <v>268</v>
      </c>
      <c r="B343" s="13" t="s">
        <v>285</v>
      </c>
      <c r="C343" s="44">
        <f>SUM(D343:AD343)</f>
        <v>130</v>
      </c>
      <c r="D343" s="219">
        <v>40</v>
      </c>
      <c r="E343" s="219">
        <v>80</v>
      </c>
      <c r="F343" s="219">
        <v>10</v>
      </c>
      <c r="G343" s="141"/>
    </row>
    <row r="344" spans="1:30" outlineLevel="1">
      <c r="A344" s="214" t="s">
        <v>436</v>
      </c>
      <c r="B344" s="13" t="s">
        <v>285</v>
      </c>
      <c r="C344" s="44">
        <f t="shared" si="126"/>
        <v>77</v>
      </c>
      <c r="D344" s="219">
        <v>25</v>
      </c>
      <c r="E344" s="219">
        <v>45</v>
      </c>
      <c r="F344" s="219">
        <v>7</v>
      </c>
      <c r="G344" s="141"/>
    </row>
    <row r="345" spans="1:30" outlineLevel="1">
      <c r="A345" s="214" t="s">
        <v>271</v>
      </c>
      <c r="B345" s="13" t="s">
        <v>285</v>
      </c>
      <c r="C345" s="44">
        <f t="shared" si="126"/>
        <v>0</v>
      </c>
      <c r="D345" s="219"/>
      <c r="E345" s="219"/>
      <c r="F345" s="219"/>
    </row>
    <row r="346" spans="1:30" s="14" customFormat="1" outlineLevel="1">
      <c r="A346" s="14" t="s">
        <v>613</v>
      </c>
      <c r="B346" s="13" t="s">
        <v>285</v>
      </c>
      <c r="C346" s="44">
        <f t="shared" si="126"/>
        <v>1397</v>
      </c>
      <c r="D346" s="55">
        <f t="shared" ref="D346:AD346" si="128">SUM(D338:D345)</f>
        <v>425</v>
      </c>
      <c r="E346" s="55">
        <f t="shared" si="128"/>
        <v>905</v>
      </c>
      <c r="F346" s="55">
        <f t="shared" si="128"/>
        <v>67</v>
      </c>
      <c r="G346" s="55">
        <f t="shared" si="128"/>
        <v>0</v>
      </c>
      <c r="H346" s="55">
        <f t="shared" si="128"/>
        <v>0</v>
      </c>
      <c r="I346" s="55">
        <f t="shared" si="128"/>
        <v>0</v>
      </c>
      <c r="J346" s="55">
        <f t="shared" si="128"/>
        <v>0</v>
      </c>
      <c r="K346" s="55">
        <f t="shared" si="128"/>
        <v>0</v>
      </c>
      <c r="L346" s="55">
        <f t="shared" si="128"/>
        <v>0</v>
      </c>
      <c r="M346" s="55">
        <f t="shared" si="128"/>
        <v>0</v>
      </c>
      <c r="N346" s="55">
        <f t="shared" si="128"/>
        <v>0</v>
      </c>
      <c r="O346" s="55">
        <f t="shared" si="128"/>
        <v>0</v>
      </c>
      <c r="P346" s="55">
        <f t="shared" si="128"/>
        <v>0</v>
      </c>
      <c r="Q346" s="55">
        <f t="shared" si="128"/>
        <v>0</v>
      </c>
      <c r="R346" s="55">
        <f t="shared" si="128"/>
        <v>0</v>
      </c>
      <c r="S346" s="55">
        <f t="shared" si="128"/>
        <v>0</v>
      </c>
      <c r="T346" s="55">
        <f t="shared" si="128"/>
        <v>0</v>
      </c>
      <c r="U346" s="55">
        <f t="shared" si="128"/>
        <v>0</v>
      </c>
      <c r="V346" s="55">
        <f t="shared" si="128"/>
        <v>0</v>
      </c>
      <c r="W346" s="55">
        <f t="shared" si="128"/>
        <v>0</v>
      </c>
      <c r="X346" s="55">
        <f t="shared" si="128"/>
        <v>0</v>
      </c>
      <c r="Y346" s="55">
        <f t="shared" si="128"/>
        <v>0</v>
      </c>
      <c r="Z346" s="55">
        <f t="shared" si="128"/>
        <v>0</v>
      </c>
      <c r="AA346" s="55">
        <f t="shared" si="128"/>
        <v>0</v>
      </c>
      <c r="AB346" s="55">
        <f t="shared" si="128"/>
        <v>0</v>
      </c>
      <c r="AC346" s="55">
        <f t="shared" si="128"/>
        <v>0</v>
      </c>
      <c r="AD346" s="55">
        <f t="shared" si="128"/>
        <v>0</v>
      </c>
    </row>
    <row r="347" spans="1:30" ht="33" customHeight="1" outlineLevel="1">
      <c r="A347" s="23" t="s">
        <v>287</v>
      </c>
      <c r="C347" s="133"/>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row>
    <row r="348" spans="1:30" outlineLevel="1">
      <c r="A348" s="265" t="s">
        <v>551</v>
      </c>
      <c r="C348" s="38"/>
    </row>
    <row r="349" spans="1:30" outlineLevel="1">
      <c r="A349" s="214" t="s">
        <v>272</v>
      </c>
      <c r="B349" s="214" t="s">
        <v>273</v>
      </c>
      <c r="C349" s="215"/>
      <c r="D349" s="220">
        <v>0.04</v>
      </c>
      <c r="E349" s="220">
        <f t="shared" ref="E349:AD349" si="129">D349</f>
        <v>0.04</v>
      </c>
      <c r="F349" s="220">
        <f t="shared" si="129"/>
        <v>0.04</v>
      </c>
      <c r="G349" s="220">
        <f t="shared" si="129"/>
        <v>0.04</v>
      </c>
      <c r="H349" s="220">
        <f t="shared" si="129"/>
        <v>0.04</v>
      </c>
      <c r="I349" s="220">
        <f t="shared" si="129"/>
        <v>0.04</v>
      </c>
      <c r="J349" s="220">
        <f t="shared" si="129"/>
        <v>0.04</v>
      </c>
      <c r="K349" s="220">
        <f t="shared" si="129"/>
        <v>0.04</v>
      </c>
      <c r="L349" s="220">
        <f t="shared" si="129"/>
        <v>0.04</v>
      </c>
      <c r="M349" s="220">
        <f t="shared" si="129"/>
        <v>0.04</v>
      </c>
      <c r="N349" s="220">
        <f t="shared" si="129"/>
        <v>0.04</v>
      </c>
      <c r="O349" s="220">
        <f t="shared" si="129"/>
        <v>0.04</v>
      </c>
      <c r="P349" s="220">
        <f t="shared" si="129"/>
        <v>0.04</v>
      </c>
      <c r="Q349" s="220">
        <f t="shared" si="129"/>
        <v>0.04</v>
      </c>
      <c r="R349" s="220">
        <f t="shared" si="129"/>
        <v>0.04</v>
      </c>
      <c r="S349" s="220">
        <f t="shared" si="129"/>
        <v>0.04</v>
      </c>
      <c r="T349" s="220">
        <f t="shared" si="129"/>
        <v>0.04</v>
      </c>
      <c r="U349" s="220">
        <f t="shared" si="129"/>
        <v>0.04</v>
      </c>
      <c r="V349" s="220">
        <f t="shared" si="129"/>
        <v>0.04</v>
      </c>
      <c r="W349" s="220">
        <f t="shared" si="129"/>
        <v>0.04</v>
      </c>
      <c r="X349" s="220">
        <f t="shared" si="129"/>
        <v>0.04</v>
      </c>
      <c r="Y349" s="220">
        <f t="shared" si="129"/>
        <v>0.04</v>
      </c>
      <c r="Z349" s="220">
        <f t="shared" si="129"/>
        <v>0.04</v>
      </c>
      <c r="AA349" s="220">
        <f t="shared" si="129"/>
        <v>0.04</v>
      </c>
      <c r="AB349" s="220">
        <f t="shared" si="129"/>
        <v>0.04</v>
      </c>
      <c r="AC349" s="220">
        <f t="shared" si="129"/>
        <v>0.04</v>
      </c>
      <c r="AD349" s="220">
        <f t="shared" si="129"/>
        <v>0.04</v>
      </c>
    </row>
    <row r="350" spans="1:30">
      <c r="A350" s="45" t="str">
        <f>A349</f>
        <v>ongoing capex - general</v>
      </c>
      <c r="C350" s="42">
        <f>SUM(D350:AD350)</f>
        <v>838.2</v>
      </c>
      <c r="D350" s="42">
        <f t="shared" ref="D350:AD350" si="130">IF(D154=0,0,D349*$C346)</f>
        <v>0</v>
      </c>
      <c r="E350" s="42">
        <f t="shared" si="130"/>
        <v>0</v>
      </c>
      <c r="F350" s="42">
        <f t="shared" si="130"/>
        <v>55.88</v>
      </c>
      <c r="G350" s="42">
        <f t="shared" si="130"/>
        <v>55.88</v>
      </c>
      <c r="H350" s="42">
        <f t="shared" si="130"/>
        <v>55.88</v>
      </c>
      <c r="I350" s="42">
        <f t="shared" si="130"/>
        <v>55.88</v>
      </c>
      <c r="J350" s="42">
        <f t="shared" si="130"/>
        <v>55.88</v>
      </c>
      <c r="K350" s="42">
        <f t="shared" si="130"/>
        <v>55.88</v>
      </c>
      <c r="L350" s="42">
        <f t="shared" si="130"/>
        <v>55.88</v>
      </c>
      <c r="M350" s="42">
        <f t="shared" si="130"/>
        <v>55.88</v>
      </c>
      <c r="N350" s="42">
        <f t="shared" si="130"/>
        <v>55.88</v>
      </c>
      <c r="O350" s="42">
        <f t="shared" si="130"/>
        <v>55.88</v>
      </c>
      <c r="P350" s="42">
        <f t="shared" si="130"/>
        <v>55.88</v>
      </c>
      <c r="Q350" s="42">
        <f t="shared" si="130"/>
        <v>55.88</v>
      </c>
      <c r="R350" s="42">
        <f t="shared" si="130"/>
        <v>55.88</v>
      </c>
      <c r="S350" s="42">
        <f t="shared" si="130"/>
        <v>55.88</v>
      </c>
      <c r="T350" s="42">
        <f t="shared" si="130"/>
        <v>55.88</v>
      </c>
      <c r="U350" s="42">
        <f t="shared" si="130"/>
        <v>0</v>
      </c>
      <c r="V350" s="42">
        <f t="shared" si="130"/>
        <v>0</v>
      </c>
      <c r="W350" s="42">
        <f t="shared" si="130"/>
        <v>0</v>
      </c>
      <c r="X350" s="42">
        <f t="shared" si="130"/>
        <v>0</v>
      </c>
      <c r="Y350" s="42">
        <f t="shared" si="130"/>
        <v>0</v>
      </c>
      <c r="Z350" s="42">
        <f t="shared" si="130"/>
        <v>0</v>
      </c>
      <c r="AA350" s="42">
        <f t="shared" si="130"/>
        <v>0</v>
      </c>
      <c r="AB350" s="42">
        <f t="shared" si="130"/>
        <v>0</v>
      </c>
      <c r="AC350" s="42">
        <f t="shared" si="130"/>
        <v>0</v>
      </c>
      <c r="AD350" s="42">
        <f t="shared" si="130"/>
        <v>0</v>
      </c>
    </row>
    <row r="351" spans="1:30">
      <c r="C351" s="44"/>
      <c r="D351" s="42"/>
      <c r="E351" s="42"/>
      <c r="F351" s="42"/>
      <c r="G351" s="42"/>
      <c r="H351" s="42"/>
      <c r="I351" s="42"/>
      <c r="J351" s="42"/>
      <c r="K351" s="42"/>
      <c r="L351" s="42"/>
      <c r="M351" s="42"/>
      <c r="N351" s="42"/>
      <c r="O351" s="42"/>
      <c r="P351" s="42"/>
      <c r="Q351" s="42"/>
      <c r="R351" s="42"/>
      <c r="S351" s="42"/>
      <c r="T351" s="42"/>
      <c r="U351" s="42"/>
      <c r="V351" s="42"/>
      <c r="W351" s="42"/>
      <c r="X351" s="42"/>
      <c r="Y351" s="42"/>
      <c r="Z351" s="42"/>
      <c r="AA351" s="42"/>
      <c r="AB351" s="42"/>
      <c r="AC351" s="42"/>
      <c r="AD351" s="42"/>
    </row>
    <row r="352" spans="1:30" outlineLevel="1">
      <c r="A352" s="214" t="s">
        <v>221</v>
      </c>
      <c r="B352" s="13" t="s">
        <v>285</v>
      </c>
      <c r="C352" s="42">
        <f>SUM(D352:AD352)</f>
        <v>60</v>
      </c>
      <c r="D352" s="219"/>
      <c r="E352" s="219"/>
      <c r="F352" s="219"/>
      <c r="G352" s="219"/>
      <c r="H352" s="219"/>
      <c r="I352" s="219">
        <v>25</v>
      </c>
      <c r="J352" s="219"/>
      <c r="K352" s="219"/>
      <c r="L352" s="219"/>
      <c r="M352" s="219">
        <v>20</v>
      </c>
      <c r="N352" s="219"/>
      <c r="O352" s="219"/>
      <c r="P352" s="219"/>
      <c r="Q352" s="219">
        <v>15</v>
      </c>
      <c r="R352" s="219"/>
      <c r="S352" s="219"/>
      <c r="T352" s="219"/>
      <c r="U352" s="219"/>
      <c r="V352" s="219"/>
      <c r="W352" s="219"/>
      <c r="X352" s="219"/>
      <c r="Y352" s="219"/>
      <c r="Z352" s="219"/>
      <c r="AA352" s="219"/>
      <c r="AB352" s="219"/>
      <c r="AC352" s="219"/>
      <c r="AD352" s="219"/>
    </row>
    <row r="353" spans="1:30" outlineLevel="1">
      <c r="A353" s="214"/>
      <c r="C353" s="42"/>
      <c r="D353" s="219"/>
      <c r="E353" s="219"/>
      <c r="F353" s="219"/>
      <c r="G353" s="219"/>
      <c r="H353" s="219"/>
      <c r="I353" s="219"/>
      <c r="J353" s="219"/>
      <c r="K353" s="219"/>
      <c r="L353" s="219"/>
      <c r="M353" s="219"/>
      <c r="N353" s="219"/>
      <c r="O353" s="219"/>
      <c r="P353" s="219"/>
      <c r="Q353" s="219"/>
      <c r="R353" s="219"/>
      <c r="S353" s="219"/>
      <c r="T353" s="219"/>
      <c r="U353" s="219"/>
      <c r="V353" s="219"/>
      <c r="W353" s="219"/>
      <c r="X353" s="219"/>
      <c r="Y353" s="219"/>
      <c r="Z353" s="219"/>
      <c r="AA353" s="219"/>
      <c r="AB353" s="219"/>
      <c r="AC353" s="219"/>
      <c r="AD353" s="219"/>
    </row>
    <row r="354" spans="1:30" s="14" customFormat="1" outlineLevel="1">
      <c r="A354" s="14" t="s">
        <v>122</v>
      </c>
      <c r="B354" s="13" t="s">
        <v>285</v>
      </c>
      <c r="C354" s="44">
        <f>SUM(D354:AD354)</f>
        <v>898.2</v>
      </c>
      <c r="D354" s="55">
        <f t="shared" ref="D354:AD354" si="131">D350+D352</f>
        <v>0</v>
      </c>
      <c r="E354" s="55">
        <f t="shared" si="131"/>
        <v>0</v>
      </c>
      <c r="F354" s="55">
        <f t="shared" si="131"/>
        <v>55.88</v>
      </c>
      <c r="G354" s="55">
        <f t="shared" si="131"/>
        <v>55.88</v>
      </c>
      <c r="H354" s="55">
        <f t="shared" si="131"/>
        <v>55.88</v>
      </c>
      <c r="I354" s="55">
        <f t="shared" si="131"/>
        <v>80.88</v>
      </c>
      <c r="J354" s="55">
        <f t="shared" si="131"/>
        <v>55.88</v>
      </c>
      <c r="K354" s="55">
        <f t="shared" si="131"/>
        <v>55.88</v>
      </c>
      <c r="L354" s="55">
        <f t="shared" si="131"/>
        <v>55.88</v>
      </c>
      <c r="M354" s="55">
        <f t="shared" si="131"/>
        <v>75.88</v>
      </c>
      <c r="N354" s="55">
        <f t="shared" si="131"/>
        <v>55.88</v>
      </c>
      <c r="O354" s="55">
        <f t="shared" si="131"/>
        <v>55.88</v>
      </c>
      <c r="P354" s="55">
        <f t="shared" si="131"/>
        <v>55.88</v>
      </c>
      <c r="Q354" s="55">
        <f t="shared" si="131"/>
        <v>70.88</v>
      </c>
      <c r="R354" s="55">
        <f t="shared" si="131"/>
        <v>55.88</v>
      </c>
      <c r="S354" s="55">
        <f t="shared" si="131"/>
        <v>55.88</v>
      </c>
      <c r="T354" s="55">
        <f t="shared" si="131"/>
        <v>55.88</v>
      </c>
      <c r="U354" s="55">
        <f t="shared" si="131"/>
        <v>0</v>
      </c>
      <c r="V354" s="55">
        <f t="shared" si="131"/>
        <v>0</v>
      </c>
      <c r="W354" s="55">
        <f t="shared" si="131"/>
        <v>0</v>
      </c>
      <c r="X354" s="55">
        <f t="shared" si="131"/>
        <v>0</v>
      </c>
      <c r="Y354" s="55">
        <f t="shared" si="131"/>
        <v>0</v>
      </c>
      <c r="Z354" s="55">
        <f t="shared" si="131"/>
        <v>0</v>
      </c>
      <c r="AA354" s="55">
        <f t="shared" si="131"/>
        <v>0</v>
      </c>
      <c r="AB354" s="55">
        <f t="shared" si="131"/>
        <v>0</v>
      </c>
      <c r="AC354" s="55">
        <f t="shared" si="131"/>
        <v>0</v>
      </c>
      <c r="AD354" s="55">
        <f t="shared" si="131"/>
        <v>0</v>
      </c>
    </row>
    <row r="355" spans="1:30" s="14" customFormat="1" outlineLevel="1">
      <c r="B355" s="13"/>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c r="AA355" s="44"/>
      <c r="AB355" s="44"/>
      <c r="AC355" s="44"/>
      <c r="AD355" s="44"/>
    </row>
    <row r="356" spans="1:30" s="14" customFormat="1" outlineLevel="1">
      <c r="A356" s="14" t="s">
        <v>288</v>
      </c>
      <c r="B356" s="13" t="s">
        <v>285</v>
      </c>
      <c r="C356" s="44">
        <f>SUM(D356:AD356)</f>
        <v>2295.2000000000016</v>
      </c>
      <c r="D356" s="55">
        <f t="shared" ref="D356:AD356" si="132">D346+D354</f>
        <v>425</v>
      </c>
      <c r="E356" s="55">
        <f t="shared" si="132"/>
        <v>905</v>
      </c>
      <c r="F356" s="55">
        <f t="shared" si="132"/>
        <v>122.88</v>
      </c>
      <c r="G356" s="55">
        <f t="shared" si="132"/>
        <v>55.88</v>
      </c>
      <c r="H356" s="55">
        <f t="shared" si="132"/>
        <v>55.88</v>
      </c>
      <c r="I356" s="55">
        <f t="shared" si="132"/>
        <v>80.88</v>
      </c>
      <c r="J356" s="55">
        <f t="shared" si="132"/>
        <v>55.88</v>
      </c>
      <c r="K356" s="55">
        <f t="shared" si="132"/>
        <v>55.88</v>
      </c>
      <c r="L356" s="55">
        <f t="shared" si="132"/>
        <v>55.88</v>
      </c>
      <c r="M356" s="55">
        <f t="shared" si="132"/>
        <v>75.88</v>
      </c>
      <c r="N356" s="55">
        <f t="shared" si="132"/>
        <v>55.88</v>
      </c>
      <c r="O356" s="55">
        <f t="shared" si="132"/>
        <v>55.88</v>
      </c>
      <c r="P356" s="55">
        <f t="shared" si="132"/>
        <v>55.88</v>
      </c>
      <c r="Q356" s="55">
        <f t="shared" si="132"/>
        <v>70.88</v>
      </c>
      <c r="R356" s="55">
        <f t="shared" si="132"/>
        <v>55.88</v>
      </c>
      <c r="S356" s="55">
        <f t="shared" si="132"/>
        <v>55.88</v>
      </c>
      <c r="T356" s="55">
        <f t="shared" si="132"/>
        <v>55.88</v>
      </c>
      <c r="U356" s="55">
        <f t="shared" si="132"/>
        <v>0</v>
      </c>
      <c r="V356" s="55">
        <f t="shared" si="132"/>
        <v>0</v>
      </c>
      <c r="W356" s="55">
        <f t="shared" si="132"/>
        <v>0</v>
      </c>
      <c r="X356" s="55">
        <f t="shared" si="132"/>
        <v>0</v>
      </c>
      <c r="Y356" s="55">
        <f t="shared" si="132"/>
        <v>0</v>
      </c>
      <c r="Z356" s="55">
        <f t="shared" si="132"/>
        <v>0</v>
      </c>
      <c r="AA356" s="55">
        <f t="shared" si="132"/>
        <v>0</v>
      </c>
      <c r="AB356" s="55">
        <f t="shared" si="132"/>
        <v>0</v>
      </c>
      <c r="AC356" s="55">
        <f t="shared" si="132"/>
        <v>0</v>
      </c>
      <c r="AD356" s="55">
        <f t="shared" si="132"/>
        <v>0</v>
      </c>
    </row>
    <row r="357" spans="1:30" outlineLevel="1">
      <c r="A357" s="144" t="str">
        <f>A$98</f>
        <v>Forex: A$ = US$  - Low Case</v>
      </c>
      <c r="B357" s="142" t="str">
        <f>B$98</f>
        <v>A$1.00 = US$ ....</v>
      </c>
      <c r="C357" s="57"/>
      <c r="D357" s="57">
        <f t="shared" ref="D357:AD357" si="133">D$98</f>
        <v>0.6</v>
      </c>
      <c r="E357" s="57">
        <f t="shared" si="133"/>
        <v>0.6</v>
      </c>
      <c r="F357" s="57">
        <f t="shared" si="133"/>
        <v>0.6</v>
      </c>
      <c r="G357" s="57">
        <f t="shared" si="133"/>
        <v>0.6</v>
      </c>
      <c r="H357" s="57">
        <f t="shared" si="133"/>
        <v>0.6</v>
      </c>
      <c r="I357" s="57">
        <f t="shared" si="133"/>
        <v>0.6</v>
      </c>
      <c r="J357" s="57">
        <f t="shared" si="133"/>
        <v>0.6</v>
      </c>
      <c r="K357" s="57">
        <f t="shared" si="133"/>
        <v>0.6</v>
      </c>
      <c r="L357" s="57">
        <f t="shared" si="133"/>
        <v>0.6</v>
      </c>
      <c r="M357" s="57">
        <f t="shared" si="133"/>
        <v>0.6</v>
      </c>
      <c r="N357" s="57">
        <f t="shared" si="133"/>
        <v>0.6</v>
      </c>
      <c r="O357" s="57">
        <f t="shared" si="133"/>
        <v>0.6</v>
      </c>
      <c r="P357" s="57">
        <f t="shared" si="133"/>
        <v>0.6</v>
      </c>
      <c r="Q357" s="57">
        <f t="shared" si="133"/>
        <v>0.6</v>
      </c>
      <c r="R357" s="57">
        <f t="shared" si="133"/>
        <v>0.6</v>
      </c>
      <c r="S357" s="57">
        <f t="shared" si="133"/>
        <v>0.6</v>
      </c>
      <c r="T357" s="57">
        <f t="shared" si="133"/>
        <v>0.6</v>
      </c>
      <c r="U357" s="57">
        <f t="shared" si="133"/>
        <v>0.6</v>
      </c>
      <c r="V357" s="57">
        <f t="shared" si="133"/>
        <v>0.6</v>
      </c>
      <c r="W357" s="57">
        <f t="shared" si="133"/>
        <v>0.6</v>
      </c>
      <c r="X357" s="57">
        <f t="shared" si="133"/>
        <v>0.6</v>
      </c>
      <c r="Y357" s="57">
        <f t="shared" si="133"/>
        <v>0.6</v>
      </c>
      <c r="Z357" s="57">
        <f t="shared" si="133"/>
        <v>0.6</v>
      </c>
      <c r="AA357" s="57">
        <f t="shared" si="133"/>
        <v>0.6</v>
      </c>
      <c r="AB357" s="57">
        <f t="shared" si="133"/>
        <v>0.6</v>
      </c>
      <c r="AC357" s="57">
        <f t="shared" si="133"/>
        <v>0.6</v>
      </c>
      <c r="AD357" s="57">
        <f t="shared" si="133"/>
        <v>0.6</v>
      </c>
    </row>
    <row r="358" spans="1:30" outlineLevel="1">
      <c r="C358" s="94"/>
      <c r="D358" s="42"/>
      <c r="E358" s="42"/>
      <c r="F358" s="42"/>
      <c r="G358" s="42"/>
      <c r="H358" s="42"/>
      <c r="I358" s="42"/>
      <c r="J358" s="42"/>
      <c r="K358" s="42"/>
      <c r="L358" s="42"/>
      <c r="M358" s="42"/>
      <c r="N358" s="42"/>
      <c r="O358" s="42"/>
      <c r="P358" s="42"/>
      <c r="Q358" s="42"/>
      <c r="R358" s="42"/>
      <c r="S358" s="42"/>
      <c r="T358" s="42"/>
      <c r="U358" s="42"/>
      <c r="V358" s="42"/>
      <c r="W358" s="42"/>
      <c r="X358" s="42"/>
      <c r="Y358" s="42"/>
      <c r="Z358" s="42"/>
      <c r="AA358" s="42"/>
      <c r="AB358" s="42"/>
      <c r="AC358" s="42"/>
      <c r="AD358" s="42"/>
    </row>
    <row r="359" spans="1:30" s="25" customFormat="1" ht="37.25" customHeight="1">
      <c r="A359" s="26" t="str">
        <f>"Cashstream 2: Capital Costs - "&amp;A3</f>
        <v>Cashstream 2: Capital Costs - Low Case</v>
      </c>
      <c r="B359" s="32" t="s">
        <v>82</v>
      </c>
      <c r="C359" s="27">
        <f>SUM(D359:AD359)</f>
        <v>1377.1200000000001</v>
      </c>
      <c r="D359" s="129">
        <f t="shared" ref="D359:AD359" si="134">D356*D357</f>
        <v>255</v>
      </c>
      <c r="E359" s="129">
        <f t="shared" si="134"/>
        <v>543</v>
      </c>
      <c r="F359" s="129">
        <f t="shared" si="134"/>
        <v>73.727999999999994</v>
      </c>
      <c r="G359" s="129">
        <f t="shared" si="134"/>
        <v>33.527999999999999</v>
      </c>
      <c r="H359" s="129">
        <f t="shared" si="134"/>
        <v>33.527999999999999</v>
      </c>
      <c r="I359" s="129">
        <f t="shared" si="134"/>
        <v>48.527999999999999</v>
      </c>
      <c r="J359" s="129">
        <f t="shared" si="134"/>
        <v>33.527999999999999</v>
      </c>
      <c r="K359" s="129">
        <f t="shared" si="134"/>
        <v>33.527999999999999</v>
      </c>
      <c r="L359" s="129">
        <f t="shared" si="134"/>
        <v>33.527999999999999</v>
      </c>
      <c r="M359" s="129">
        <f t="shared" si="134"/>
        <v>45.527999999999999</v>
      </c>
      <c r="N359" s="129">
        <f t="shared" si="134"/>
        <v>33.527999999999999</v>
      </c>
      <c r="O359" s="129">
        <f t="shared" si="134"/>
        <v>33.527999999999999</v>
      </c>
      <c r="P359" s="129">
        <f t="shared" si="134"/>
        <v>33.527999999999999</v>
      </c>
      <c r="Q359" s="129">
        <f t="shared" si="134"/>
        <v>42.527999999999999</v>
      </c>
      <c r="R359" s="129">
        <f t="shared" si="134"/>
        <v>33.527999999999999</v>
      </c>
      <c r="S359" s="129">
        <f t="shared" si="134"/>
        <v>33.527999999999999</v>
      </c>
      <c r="T359" s="129">
        <f t="shared" si="134"/>
        <v>33.527999999999999</v>
      </c>
      <c r="U359" s="129">
        <f t="shared" si="134"/>
        <v>0</v>
      </c>
      <c r="V359" s="129">
        <f t="shared" si="134"/>
        <v>0</v>
      </c>
      <c r="W359" s="129">
        <f t="shared" si="134"/>
        <v>0</v>
      </c>
      <c r="X359" s="129">
        <f t="shared" si="134"/>
        <v>0</v>
      </c>
      <c r="Y359" s="129">
        <f t="shared" si="134"/>
        <v>0</v>
      </c>
      <c r="Z359" s="129">
        <f t="shared" si="134"/>
        <v>0</v>
      </c>
      <c r="AA359" s="129">
        <f t="shared" si="134"/>
        <v>0</v>
      </c>
      <c r="AB359" s="129">
        <f t="shared" si="134"/>
        <v>0</v>
      </c>
      <c r="AC359" s="129">
        <f t="shared" si="134"/>
        <v>0</v>
      </c>
      <c r="AD359" s="129">
        <f t="shared" si="134"/>
        <v>0</v>
      </c>
    </row>
    <row r="360" spans="1:30" s="107" customFormat="1" ht="52.75" customHeight="1">
      <c r="A360" s="23" t="s">
        <v>438</v>
      </c>
      <c r="C360" s="108"/>
      <c r="D360" s="109"/>
      <c r="E360" s="109"/>
      <c r="F360" s="109"/>
      <c r="G360" s="109"/>
      <c r="H360" s="109"/>
      <c r="I360" s="109"/>
      <c r="J360" s="109"/>
      <c r="K360" s="109"/>
      <c r="L360" s="109"/>
      <c r="M360" s="109"/>
      <c r="N360" s="109"/>
      <c r="O360" s="109"/>
      <c r="P360" s="109"/>
      <c r="Q360" s="109"/>
      <c r="R360" s="109"/>
      <c r="S360" s="109"/>
      <c r="T360" s="109"/>
      <c r="U360" s="109"/>
      <c r="V360" s="109"/>
      <c r="W360" s="109"/>
      <c r="X360" s="109"/>
      <c r="Y360" s="109"/>
      <c r="Z360" s="109"/>
      <c r="AA360" s="109"/>
      <c r="AB360" s="109"/>
      <c r="AC360" s="109"/>
      <c r="AD360" s="109"/>
    </row>
    <row r="361" spans="1:30" outlineLevel="1">
      <c r="A361" s="50" t="s">
        <v>439</v>
      </c>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row>
    <row r="362" spans="1:30" outlineLevel="1">
      <c r="A362" s="265" t="s">
        <v>573</v>
      </c>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row>
    <row r="363" spans="1:30" outlineLevel="1">
      <c r="A363" s="265" t="s">
        <v>574</v>
      </c>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row>
    <row r="364" spans="1:30" outlineLevel="1">
      <c r="A364" s="265" t="s">
        <v>575</v>
      </c>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c r="AC364" s="15"/>
      <c r="AD364" s="15"/>
    </row>
    <row r="365" spans="1:30" outlineLevel="1">
      <c r="A365" s="265" t="s">
        <v>576</v>
      </c>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row>
    <row r="366" spans="1:30" outlineLevel="1">
      <c r="A366" s="265" t="s">
        <v>577</v>
      </c>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row>
    <row r="367" spans="1:30" outlineLevel="1">
      <c r="A367" s="50" t="s">
        <v>467</v>
      </c>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row>
    <row r="368" spans="1:30" outlineLevel="1">
      <c r="A368" s="267" t="s">
        <v>578</v>
      </c>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row>
    <row r="369" spans="1:30" outlineLevel="1">
      <c r="A369" s="267" t="s">
        <v>579</v>
      </c>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row>
    <row r="370" spans="1:30" outlineLevel="1">
      <c r="A370" s="49" t="s">
        <v>291</v>
      </c>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row>
    <row r="371" spans="1:30" s="270" customFormat="1" ht="15" customHeight="1" outlineLevel="1">
      <c r="A371" s="134" t="s">
        <v>552</v>
      </c>
      <c r="B371" s="268"/>
      <c r="C371" s="269"/>
      <c r="D371" s="269"/>
      <c r="E371" s="269"/>
      <c r="F371" s="269"/>
      <c r="G371" s="269"/>
      <c r="H371" s="269"/>
      <c r="I371" s="269"/>
      <c r="J371" s="269"/>
      <c r="K371" s="269"/>
      <c r="L371" s="269"/>
      <c r="M371" s="269"/>
      <c r="N371" s="269"/>
      <c r="O371" s="269"/>
      <c r="P371" s="269"/>
      <c r="Q371" s="269"/>
      <c r="R371" s="269"/>
      <c r="S371" s="269"/>
      <c r="T371" s="269"/>
      <c r="U371" s="269"/>
      <c r="V371" s="269"/>
      <c r="W371" s="269"/>
      <c r="X371" s="269"/>
    </row>
    <row r="372" spans="1:30" s="104" customFormat="1" ht="13.5" outlineLevel="1" thickBot="1">
      <c r="A372" s="272" t="s">
        <v>289</v>
      </c>
      <c r="B372" s="272" t="s">
        <v>125</v>
      </c>
      <c r="C372" s="273"/>
      <c r="D372" s="274">
        <v>0.02</v>
      </c>
      <c r="E372" s="274">
        <f t="shared" ref="E372:AD372" si="135">D372</f>
        <v>0.02</v>
      </c>
      <c r="F372" s="274">
        <f t="shared" si="135"/>
        <v>0.02</v>
      </c>
      <c r="G372" s="274">
        <f t="shared" si="135"/>
        <v>0.02</v>
      </c>
      <c r="H372" s="274">
        <f t="shared" si="135"/>
        <v>0.02</v>
      </c>
      <c r="I372" s="274">
        <f t="shared" si="135"/>
        <v>0.02</v>
      </c>
      <c r="J372" s="274">
        <f t="shared" si="135"/>
        <v>0.02</v>
      </c>
      <c r="K372" s="274">
        <f t="shared" si="135"/>
        <v>0.02</v>
      </c>
      <c r="L372" s="274">
        <f t="shared" si="135"/>
        <v>0.02</v>
      </c>
      <c r="M372" s="274">
        <f t="shared" si="135"/>
        <v>0.02</v>
      </c>
      <c r="N372" s="274">
        <f t="shared" si="135"/>
        <v>0.02</v>
      </c>
      <c r="O372" s="274">
        <f t="shared" si="135"/>
        <v>0.02</v>
      </c>
      <c r="P372" s="274">
        <f t="shared" si="135"/>
        <v>0.02</v>
      </c>
      <c r="Q372" s="274">
        <f t="shared" si="135"/>
        <v>0.02</v>
      </c>
      <c r="R372" s="274">
        <f t="shared" si="135"/>
        <v>0.02</v>
      </c>
      <c r="S372" s="274">
        <f t="shared" si="135"/>
        <v>0.02</v>
      </c>
      <c r="T372" s="274">
        <f t="shared" si="135"/>
        <v>0.02</v>
      </c>
      <c r="U372" s="274">
        <f t="shared" si="135"/>
        <v>0.02</v>
      </c>
      <c r="V372" s="274">
        <f t="shared" si="135"/>
        <v>0.02</v>
      </c>
      <c r="W372" s="274">
        <f t="shared" si="135"/>
        <v>0.02</v>
      </c>
      <c r="X372" s="274">
        <f t="shared" si="135"/>
        <v>0.02</v>
      </c>
      <c r="Y372" s="274">
        <f t="shared" si="135"/>
        <v>0.02</v>
      </c>
      <c r="Z372" s="274">
        <f t="shared" si="135"/>
        <v>0.02</v>
      </c>
      <c r="AA372" s="274">
        <f t="shared" si="135"/>
        <v>0.02</v>
      </c>
      <c r="AB372" s="274">
        <f t="shared" si="135"/>
        <v>0.02</v>
      </c>
      <c r="AC372" s="274">
        <f t="shared" si="135"/>
        <v>0.02</v>
      </c>
      <c r="AD372" s="274">
        <f t="shared" si="135"/>
        <v>0.02</v>
      </c>
    </row>
    <row r="373" spans="1:30" s="45" customFormat="1" ht="13.5" outlineLevel="1" thickBot="1">
      <c r="A373" s="45" t="s">
        <v>291</v>
      </c>
      <c r="B373" s="13" t="s">
        <v>83</v>
      </c>
      <c r="C373" s="42"/>
      <c r="D373" s="165">
        <f>(1+D372)^0.5</f>
        <v>1.0099504938362078</v>
      </c>
      <c r="E373" s="57">
        <f t="shared" ref="E373:AD373" si="136">D373*(1+E372)</f>
        <v>1.030149503712932</v>
      </c>
      <c r="F373" s="57">
        <f t="shared" si="136"/>
        <v>1.0507524937871906</v>
      </c>
      <c r="G373" s="57">
        <f t="shared" si="136"/>
        <v>1.0717675436629344</v>
      </c>
      <c r="H373" s="57">
        <f t="shared" si="136"/>
        <v>1.0932028945361931</v>
      </c>
      <c r="I373" s="57">
        <f t="shared" si="136"/>
        <v>1.115066952426917</v>
      </c>
      <c r="J373" s="57">
        <f t="shared" si="136"/>
        <v>1.1373682914754553</v>
      </c>
      <c r="K373" s="57">
        <f t="shared" si="136"/>
        <v>1.1601156573049645</v>
      </c>
      <c r="L373" s="57">
        <f t="shared" si="136"/>
        <v>1.1833179704510637</v>
      </c>
      <c r="M373" s="57">
        <f t="shared" si="136"/>
        <v>1.2069843298600851</v>
      </c>
      <c r="N373" s="57">
        <f t="shared" si="136"/>
        <v>1.2311240164572868</v>
      </c>
      <c r="O373" s="57">
        <f t="shared" si="136"/>
        <v>1.2557464967864325</v>
      </c>
      <c r="P373" s="57">
        <f t="shared" si="136"/>
        <v>1.2808614267221612</v>
      </c>
      <c r="Q373" s="57">
        <f t="shared" si="136"/>
        <v>1.3064786552566043</v>
      </c>
      <c r="R373" s="57">
        <f t="shared" si="136"/>
        <v>1.3326082283617364</v>
      </c>
      <c r="S373" s="57">
        <f t="shared" si="136"/>
        <v>1.3592603929289713</v>
      </c>
      <c r="T373" s="57">
        <f t="shared" si="136"/>
        <v>1.3864456007875507</v>
      </c>
      <c r="U373" s="57">
        <f t="shared" si="136"/>
        <v>1.4141745128033019</v>
      </c>
      <c r="V373" s="57">
        <f t="shared" si="136"/>
        <v>1.4424580030593679</v>
      </c>
      <c r="W373" s="57">
        <f t="shared" si="136"/>
        <v>1.4713071631205552</v>
      </c>
      <c r="X373" s="57">
        <f t="shared" si="136"/>
        <v>1.5007333063829664</v>
      </c>
      <c r="Y373" s="57">
        <f t="shared" si="136"/>
        <v>1.5307479725106259</v>
      </c>
      <c r="Z373" s="57">
        <f t="shared" si="136"/>
        <v>1.5613629319608384</v>
      </c>
      <c r="AA373" s="57">
        <f t="shared" si="136"/>
        <v>1.5925901906000552</v>
      </c>
      <c r="AB373" s="57">
        <f t="shared" si="136"/>
        <v>1.6244419944120563</v>
      </c>
      <c r="AC373" s="57">
        <f t="shared" si="136"/>
        <v>1.6569308343002975</v>
      </c>
      <c r="AD373" s="57">
        <f t="shared" si="136"/>
        <v>1.6900694509863035</v>
      </c>
    </row>
    <row r="374" spans="1:30" s="16" customFormat="1" ht="15.5" outlineLevel="1">
      <c r="A374" s="49" t="s">
        <v>464</v>
      </c>
      <c r="B374" s="8"/>
      <c r="C374" s="19"/>
      <c r="D374" s="164"/>
      <c r="E374" s="20"/>
      <c r="F374" s="20"/>
      <c r="G374" s="20"/>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row>
    <row r="375" spans="1:30" outlineLevel="1">
      <c r="A375" s="271" t="s">
        <v>582</v>
      </c>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row>
    <row r="376" spans="1:30" outlineLevel="1">
      <c r="A376" s="45" t="str">
        <f>A338</f>
        <v>Prestrip</v>
      </c>
      <c r="B376" s="45" t="str">
        <f>B338</f>
        <v>A$ million Real</v>
      </c>
      <c r="C376" s="42">
        <f>SUM(D376:AD376)</f>
        <v>40</v>
      </c>
      <c r="D376" s="42">
        <f t="shared" ref="D376:AD376" si="137">D338</f>
        <v>10</v>
      </c>
      <c r="E376" s="42">
        <f t="shared" si="137"/>
        <v>30</v>
      </c>
      <c r="F376" s="42">
        <f t="shared" si="137"/>
        <v>0</v>
      </c>
      <c r="G376" s="42">
        <f t="shared" si="137"/>
        <v>0</v>
      </c>
      <c r="H376" s="42">
        <f t="shared" si="137"/>
        <v>0</v>
      </c>
      <c r="I376" s="42">
        <f t="shared" si="137"/>
        <v>0</v>
      </c>
      <c r="J376" s="42">
        <f t="shared" si="137"/>
        <v>0</v>
      </c>
      <c r="K376" s="42">
        <f t="shared" si="137"/>
        <v>0</v>
      </c>
      <c r="L376" s="42">
        <f t="shared" si="137"/>
        <v>0</v>
      </c>
      <c r="M376" s="42">
        <f t="shared" si="137"/>
        <v>0</v>
      </c>
      <c r="N376" s="42">
        <f t="shared" si="137"/>
        <v>0</v>
      </c>
      <c r="O376" s="42">
        <f t="shared" si="137"/>
        <v>0</v>
      </c>
      <c r="P376" s="42">
        <f t="shared" si="137"/>
        <v>0</v>
      </c>
      <c r="Q376" s="42">
        <f t="shared" si="137"/>
        <v>0</v>
      </c>
      <c r="R376" s="42">
        <f t="shared" si="137"/>
        <v>0</v>
      </c>
      <c r="S376" s="42">
        <f t="shared" si="137"/>
        <v>0</v>
      </c>
      <c r="T376" s="42">
        <f t="shared" si="137"/>
        <v>0</v>
      </c>
      <c r="U376" s="42">
        <f t="shared" si="137"/>
        <v>0</v>
      </c>
      <c r="V376" s="42">
        <f t="shared" si="137"/>
        <v>0</v>
      </c>
      <c r="W376" s="42">
        <f t="shared" si="137"/>
        <v>0</v>
      </c>
      <c r="X376" s="42">
        <f t="shared" si="137"/>
        <v>0</v>
      </c>
      <c r="Y376" s="42">
        <f t="shared" si="137"/>
        <v>0</v>
      </c>
      <c r="Z376" s="42">
        <f t="shared" si="137"/>
        <v>0</v>
      </c>
      <c r="AA376" s="42">
        <f t="shared" si="137"/>
        <v>0</v>
      </c>
      <c r="AB376" s="42">
        <f t="shared" si="137"/>
        <v>0</v>
      </c>
      <c r="AC376" s="42">
        <f t="shared" si="137"/>
        <v>0</v>
      </c>
      <c r="AD376" s="42">
        <f t="shared" si="137"/>
        <v>0</v>
      </c>
    </row>
    <row r="377" spans="1:30" s="104" customFormat="1" outlineLevel="1">
      <c r="A377" s="104" t="str">
        <f>A376</f>
        <v>Prestrip</v>
      </c>
      <c r="B377" s="104" t="s">
        <v>290</v>
      </c>
      <c r="C377" s="105">
        <f>SUM(D377:AD377)</f>
        <v>41.003990049750037</v>
      </c>
      <c r="D377" s="105">
        <f>D376*D$373</f>
        <v>10.099504938362077</v>
      </c>
      <c r="E377" s="105">
        <f t="shared" ref="E377:AD377" si="138">E376*E$373</f>
        <v>30.90448511138796</v>
      </c>
      <c r="F377" s="105">
        <f t="shared" si="138"/>
        <v>0</v>
      </c>
      <c r="G377" s="105">
        <f t="shared" si="138"/>
        <v>0</v>
      </c>
      <c r="H377" s="105">
        <f t="shared" si="138"/>
        <v>0</v>
      </c>
      <c r="I377" s="105">
        <f t="shared" si="138"/>
        <v>0</v>
      </c>
      <c r="J377" s="105">
        <f t="shared" si="138"/>
        <v>0</v>
      </c>
      <c r="K377" s="105">
        <f t="shared" si="138"/>
        <v>0</v>
      </c>
      <c r="L377" s="105">
        <f t="shared" si="138"/>
        <v>0</v>
      </c>
      <c r="M377" s="105">
        <f t="shared" si="138"/>
        <v>0</v>
      </c>
      <c r="N377" s="105">
        <f t="shared" si="138"/>
        <v>0</v>
      </c>
      <c r="O377" s="105">
        <f t="shared" si="138"/>
        <v>0</v>
      </c>
      <c r="P377" s="105">
        <f t="shared" si="138"/>
        <v>0</v>
      </c>
      <c r="Q377" s="105">
        <f t="shared" si="138"/>
        <v>0</v>
      </c>
      <c r="R377" s="105">
        <f t="shared" si="138"/>
        <v>0</v>
      </c>
      <c r="S377" s="105">
        <f t="shared" si="138"/>
        <v>0</v>
      </c>
      <c r="T377" s="105">
        <f t="shared" si="138"/>
        <v>0</v>
      </c>
      <c r="U377" s="105">
        <f t="shared" si="138"/>
        <v>0</v>
      </c>
      <c r="V377" s="105">
        <f t="shared" si="138"/>
        <v>0</v>
      </c>
      <c r="W377" s="105">
        <f t="shared" si="138"/>
        <v>0</v>
      </c>
      <c r="X377" s="105">
        <f t="shared" si="138"/>
        <v>0</v>
      </c>
      <c r="Y377" s="105">
        <f t="shared" si="138"/>
        <v>0</v>
      </c>
      <c r="Z377" s="105">
        <f t="shared" si="138"/>
        <v>0</v>
      </c>
      <c r="AA377" s="105">
        <f t="shared" si="138"/>
        <v>0</v>
      </c>
      <c r="AB377" s="105">
        <f t="shared" si="138"/>
        <v>0</v>
      </c>
      <c r="AC377" s="105">
        <f t="shared" si="138"/>
        <v>0</v>
      </c>
      <c r="AD377" s="105">
        <f t="shared" si="138"/>
        <v>0</v>
      </c>
    </row>
    <row r="378" spans="1:30" s="104" customFormat="1" ht="12.65" customHeight="1" outlineLevel="1">
      <c r="A378" s="104" t="s">
        <v>441</v>
      </c>
      <c r="B378" s="104" t="str">
        <f>B377</f>
        <v>A$ millions NOMINAL</v>
      </c>
      <c r="C378" s="105">
        <f>SUM(D378:AD378)</f>
        <v>41.003990049750037</v>
      </c>
      <c r="D378" s="105">
        <f>D377</f>
        <v>10.099504938362077</v>
      </c>
      <c r="E378" s="105">
        <f t="shared" ref="E378:AD378" si="139">E377</f>
        <v>30.90448511138796</v>
      </c>
      <c r="F378" s="105">
        <f t="shared" si="139"/>
        <v>0</v>
      </c>
      <c r="G378" s="105">
        <f t="shared" si="139"/>
        <v>0</v>
      </c>
      <c r="H378" s="105">
        <f t="shared" si="139"/>
        <v>0</v>
      </c>
      <c r="I378" s="105">
        <f t="shared" si="139"/>
        <v>0</v>
      </c>
      <c r="J378" s="105">
        <f t="shared" si="139"/>
        <v>0</v>
      </c>
      <c r="K378" s="105">
        <f t="shared" si="139"/>
        <v>0</v>
      </c>
      <c r="L378" s="105">
        <f t="shared" si="139"/>
        <v>0</v>
      </c>
      <c r="M378" s="105">
        <f t="shared" si="139"/>
        <v>0</v>
      </c>
      <c r="N378" s="105">
        <f t="shared" si="139"/>
        <v>0</v>
      </c>
      <c r="O378" s="105">
        <f t="shared" si="139"/>
        <v>0</v>
      </c>
      <c r="P378" s="105">
        <f t="shared" si="139"/>
        <v>0</v>
      </c>
      <c r="Q378" s="105">
        <f t="shared" si="139"/>
        <v>0</v>
      </c>
      <c r="R378" s="105">
        <f t="shared" si="139"/>
        <v>0</v>
      </c>
      <c r="S378" s="105">
        <f t="shared" si="139"/>
        <v>0</v>
      </c>
      <c r="T378" s="105">
        <f t="shared" si="139"/>
        <v>0</v>
      </c>
      <c r="U378" s="105">
        <f t="shared" si="139"/>
        <v>0</v>
      </c>
      <c r="V378" s="105">
        <f t="shared" si="139"/>
        <v>0</v>
      </c>
      <c r="W378" s="105">
        <f t="shared" si="139"/>
        <v>0</v>
      </c>
      <c r="X378" s="105">
        <f t="shared" si="139"/>
        <v>0</v>
      </c>
      <c r="Y378" s="105">
        <f t="shared" si="139"/>
        <v>0</v>
      </c>
      <c r="Z378" s="105">
        <f t="shared" si="139"/>
        <v>0</v>
      </c>
      <c r="AA378" s="105">
        <f t="shared" si="139"/>
        <v>0</v>
      </c>
      <c r="AB378" s="105">
        <f t="shared" si="139"/>
        <v>0</v>
      </c>
      <c r="AC378" s="105">
        <f t="shared" si="139"/>
        <v>0</v>
      </c>
      <c r="AD378" s="105">
        <f t="shared" si="139"/>
        <v>0</v>
      </c>
    </row>
    <row r="379" spans="1:30" outlineLevel="1">
      <c r="C379" s="42"/>
      <c r="D379" s="42"/>
      <c r="E379" s="42"/>
      <c r="F379" s="42"/>
      <c r="G379" s="42"/>
      <c r="H379" s="42"/>
      <c r="I379" s="42"/>
      <c r="J379" s="42"/>
      <c r="K379" s="42"/>
      <c r="L379" s="42"/>
      <c r="M379" s="42"/>
      <c r="N379" s="42"/>
      <c r="O379" s="42"/>
      <c r="P379" s="42"/>
      <c r="Q379" s="42"/>
      <c r="R379" s="42"/>
      <c r="S379" s="42"/>
      <c r="T379" s="42"/>
      <c r="U379" s="42"/>
      <c r="V379" s="42"/>
      <c r="W379" s="42"/>
      <c r="X379" s="42"/>
      <c r="Y379" s="42"/>
      <c r="Z379" s="42"/>
      <c r="AA379" s="42"/>
      <c r="AB379" s="42"/>
      <c r="AC379" s="42"/>
      <c r="AD379" s="42"/>
    </row>
    <row r="380" spans="1:30" outlineLevel="1">
      <c r="A380" s="49" t="s">
        <v>465</v>
      </c>
      <c r="C380" s="42"/>
      <c r="D380" s="42"/>
      <c r="E380" s="42"/>
      <c r="F380" s="42"/>
      <c r="G380" s="42"/>
      <c r="H380" s="42"/>
      <c r="I380" s="42"/>
      <c r="J380" s="42"/>
      <c r="K380" s="42"/>
      <c r="L380" s="42"/>
      <c r="M380" s="42"/>
      <c r="N380" s="42"/>
      <c r="O380" s="42"/>
      <c r="P380" s="42"/>
      <c r="Q380" s="42"/>
      <c r="R380" s="42"/>
      <c r="S380" s="42"/>
      <c r="T380" s="42"/>
      <c r="U380" s="42"/>
      <c r="V380" s="42"/>
      <c r="W380" s="42"/>
      <c r="X380" s="42"/>
      <c r="Y380" s="42"/>
      <c r="Z380" s="42"/>
      <c r="AA380" s="42"/>
      <c r="AB380" s="42"/>
      <c r="AC380" s="42"/>
      <c r="AD380" s="42"/>
    </row>
    <row r="381" spans="1:30" outlineLevel="1">
      <c r="A381" s="271" t="s">
        <v>553</v>
      </c>
      <c r="C381" s="42"/>
      <c r="D381" s="42"/>
      <c r="E381" s="42"/>
      <c r="F381" s="42"/>
      <c r="G381" s="42"/>
      <c r="H381" s="42"/>
      <c r="I381" s="42"/>
      <c r="J381" s="42"/>
      <c r="K381" s="42"/>
      <c r="L381" s="42"/>
      <c r="M381" s="42"/>
      <c r="N381" s="42"/>
      <c r="O381" s="42"/>
      <c r="P381" s="42"/>
      <c r="Q381" s="42"/>
      <c r="R381" s="42"/>
      <c r="S381" s="42"/>
      <c r="T381" s="42"/>
      <c r="U381" s="42"/>
      <c r="V381" s="42"/>
      <c r="W381" s="42"/>
      <c r="X381" s="42"/>
      <c r="Y381" s="42"/>
      <c r="Z381" s="42"/>
      <c r="AA381" s="42"/>
      <c r="AB381" s="42"/>
      <c r="AC381" s="42"/>
      <c r="AD381" s="42"/>
    </row>
    <row r="382" spans="1:30" outlineLevel="1">
      <c r="A382" s="45" t="str">
        <f>A339</f>
        <v>Mine</v>
      </c>
      <c r="B382" s="45" t="str">
        <f>B339</f>
        <v>A$ million Real</v>
      </c>
      <c r="C382" s="42">
        <f>SUM(D382:AD382)</f>
        <v>210</v>
      </c>
      <c r="D382" s="42">
        <f t="shared" ref="D382:AD383" si="140">D339</f>
        <v>100</v>
      </c>
      <c r="E382" s="42">
        <f t="shared" si="140"/>
        <v>100</v>
      </c>
      <c r="F382" s="42">
        <f t="shared" si="140"/>
        <v>10</v>
      </c>
      <c r="G382" s="42">
        <f t="shared" si="140"/>
        <v>0</v>
      </c>
      <c r="H382" s="42">
        <f t="shared" si="140"/>
        <v>0</v>
      </c>
      <c r="I382" s="42">
        <f t="shared" si="140"/>
        <v>0</v>
      </c>
      <c r="J382" s="42">
        <f t="shared" si="140"/>
        <v>0</v>
      </c>
      <c r="K382" s="42">
        <f t="shared" si="140"/>
        <v>0</v>
      </c>
      <c r="L382" s="42">
        <f t="shared" si="140"/>
        <v>0</v>
      </c>
      <c r="M382" s="42">
        <f t="shared" si="140"/>
        <v>0</v>
      </c>
      <c r="N382" s="42">
        <f t="shared" si="140"/>
        <v>0</v>
      </c>
      <c r="O382" s="42">
        <f t="shared" si="140"/>
        <v>0</v>
      </c>
      <c r="P382" s="42">
        <f t="shared" si="140"/>
        <v>0</v>
      </c>
      <c r="Q382" s="42">
        <f t="shared" si="140"/>
        <v>0</v>
      </c>
      <c r="R382" s="42">
        <f t="shared" si="140"/>
        <v>0</v>
      </c>
      <c r="S382" s="42">
        <f t="shared" si="140"/>
        <v>0</v>
      </c>
      <c r="T382" s="42">
        <f t="shared" si="140"/>
        <v>0</v>
      </c>
      <c r="U382" s="42">
        <f t="shared" si="140"/>
        <v>0</v>
      </c>
      <c r="V382" s="42">
        <f t="shared" si="140"/>
        <v>0</v>
      </c>
      <c r="W382" s="42">
        <f t="shared" si="140"/>
        <v>0</v>
      </c>
      <c r="X382" s="42">
        <f t="shared" si="140"/>
        <v>0</v>
      </c>
      <c r="Y382" s="42">
        <f t="shared" si="140"/>
        <v>0</v>
      </c>
      <c r="Z382" s="42">
        <f t="shared" si="140"/>
        <v>0</v>
      </c>
      <c r="AA382" s="42">
        <f t="shared" si="140"/>
        <v>0</v>
      </c>
      <c r="AB382" s="42">
        <f t="shared" si="140"/>
        <v>0</v>
      </c>
      <c r="AC382" s="42">
        <f t="shared" si="140"/>
        <v>0</v>
      </c>
      <c r="AD382" s="42">
        <f t="shared" si="140"/>
        <v>0</v>
      </c>
    </row>
    <row r="383" spans="1:30" outlineLevel="1">
      <c r="A383" s="45" t="str">
        <f>A340</f>
        <v>Mineral Processing Plant</v>
      </c>
      <c r="B383" s="45" t="str">
        <f>B340</f>
        <v>A$ million Real</v>
      </c>
      <c r="C383" s="42">
        <f>SUM(D383:AD383)</f>
        <v>720</v>
      </c>
      <c r="D383" s="42">
        <f t="shared" si="140"/>
        <v>200</v>
      </c>
      <c r="E383" s="42">
        <f t="shared" si="140"/>
        <v>500</v>
      </c>
      <c r="F383" s="42">
        <f t="shared" si="140"/>
        <v>20</v>
      </c>
      <c r="G383" s="42">
        <f t="shared" si="140"/>
        <v>0</v>
      </c>
      <c r="H383" s="42">
        <f t="shared" si="140"/>
        <v>0</v>
      </c>
      <c r="I383" s="42">
        <f t="shared" si="140"/>
        <v>0</v>
      </c>
      <c r="J383" s="42">
        <f t="shared" si="140"/>
        <v>0</v>
      </c>
      <c r="K383" s="42">
        <f t="shared" si="140"/>
        <v>0</v>
      </c>
      <c r="L383" s="42">
        <f t="shared" si="140"/>
        <v>0</v>
      </c>
      <c r="M383" s="42">
        <f t="shared" si="140"/>
        <v>0</v>
      </c>
      <c r="N383" s="42">
        <f t="shared" si="140"/>
        <v>0</v>
      </c>
      <c r="O383" s="42">
        <f t="shared" si="140"/>
        <v>0</v>
      </c>
      <c r="P383" s="42">
        <f t="shared" si="140"/>
        <v>0</v>
      </c>
      <c r="Q383" s="42">
        <f t="shared" si="140"/>
        <v>0</v>
      </c>
      <c r="R383" s="42">
        <f t="shared" si="140"/>
        <v>0</v>
      </c>
      <c r="S383" s="42">
        <f t="shared" si="140"/>
        <v>0</v>
      </c>
      <c r="T383" s="42">
        <f t="shared" si="140"/>
        <v>0</v>
      </c>
      <c r="U383" s="42">
        <f t="shared" si="140"/>
        <v>0</v>
      </c>
      <c r="V383" s="42">
        <f t="shared" si="140"/>
        <v>0</v>
      </c>
      <c r="W383" s="42">
        <f t="shared" si="140"/>
        <v>0</v>
      </c>
      <c r="X383" s="42">
        <f t="shared" si="140"/>
        <v>0</v>
      </c>
      <c r="Y383" s="42">
        <f t="shared" si="140"/>
        <v>0</v>
      </c>
      <c r="Z383" s="42">
        <f t="shared" si="140"/>
        <v>0</v>
      </c>
      <c r="AA383" s="42">
        <f t="shared" si="140"/>
        <v>0</v>
      </c>
      <c r="AB383" s="42">
        <f t="shared" si="140"/>
        <v>0</v>
      </c>
      <c r="AC383" s="42">
        <f t="shared" si="140"/>
        <v>0</v>
      </c>
      <c r="AD383" s="42">
        <f t="shared" si="140"/>
        <v>0</v>
      </c>
    </row>
    <row r="384" spans="1:30" outlineLevel="1">
      <c r="A384" s="45" t="s">
        <v>442</v>
      </c>
      <c r="B384" s="45" t="s">
        <v>285</v>
      </c>
      <c r="C384" s="42">
        <f>SUM(D384:AD384)</f>
        <v>930</v>
      </c>
      <c r="D384" s="70">
        <f>SUM(D382:D383)</f>
        <v>300</v>
      </c>
      <c r="E384" s="70">
        <f t="shared" ref="E384:AD384" si="141">SUM(E382:E383)</f>
        <v>600</v>
      </c>
      <c r="F384" s="70">
        <f t="shared" si="141"/>
        <v>30</v>
      </c>
      <c r="G384" s="70">
        <f t="shared" si="141"/>
        <v>0</v>
      </c>
      <c r="H384" s="70">
        <f t="shared" si="141"/>
        <v>0</v>
      </c>
      <c r="I384" s="70">
        <f t="shared" si="141"/>
        <v>0</v>
      </c>
      <c r="J384" s="70">
        <f t="shared" si="141"/>
        <v>0</v>
      </c>
      <c r="K384" s="70">
        <f t="shared" si="141"/>
        <v>0</v>
      </c>
      <c r="L384" s="70">
        <f t="shared" si="141"/>
        <v>0</v>
      </c>
      <c r="M384" s="70">
        <f t="shared" si="141"/>
        <v>0</v>
      </c>
      <c r="N384" s="70">
        <f t="shared" si="141"/>
        <v>0</v>
      </c>
      <c r="O384" s="70">
        <f t="shared" si="141"/>
        <v>0</v>
      </c>
      <c r="P384" s="70">
        <f t="shared" si="141"/>
        <v>0</v>
      </c>
      <c r="Q384" s="70">
        <f t="shared" si="141"/>
        <v>0</v>
      </c>
      <c r="R384" s="70">
        <f t="shared" si="141"/>
        <v>0</v>
      </c>
      <c r="S384" s="70">
        <f t="shared" si="141"/>
        <v>0</v>
      </c>
      <c r="T384" s="70">
        <f t="shared" si="141"/>
        <v>0</v>
      </c>
      <c r="U384" s="70">
        <f t="shared" si="141"/>
        <v>0</v>
      </c>
      <c r="V384" s="70">
        <f t="shared" si="141"/>
        <v>0</v>
      </c>
      <c r="W384" s="70">
        <f t="shared" si="141"/>
        <v>0</v>
      </c>
      <c r="X384" s="70">
        <f t="shared" si="141"/>
        <v>0</v>
      </c>
      <c r="Y384" s="70">
        <f t="shared" si="141"/>
        <v>0</v>
      </c>
      <c r="Z384" s="70">
        <f t="shared" si="141"/>
        <v>0</v>
      </c>
      <c r="AA384" s="70">
        <f t="shared" si="141"/>
        <v>0</v>
      </c>
      <c r="AB384" s="70">
        <f t="shared" si="141"/>
        <v>0</v>
      </c>
      <c r="AC384" s="70">
        <f t="shared" si="141"/>
        <v>0</v>
      </c>
      <c r="AD384" s="70">
        <f t="shared" si="141"/>
        <v>0</v>
      </c>
    </row>
    <row r="385" spans="1:30" s="104" customFormat="1" outlineLevel="1">
      <c r="A385" s="104" t="str">
        <f>A384</f>
        <v>Mine &amp; Mineral Processing</v>
      </c>
      <c r="B385" s="104" t="s">
        <v>290</v>
      </c>
      <c r="C385" s="105">
        <f>SUM(D385:AD385)</f>
        <v>952.59742519223721</v>
      </c>
      <c r="D385" s="105">
        <f>D384*D$373</f>
        <v>302.98514815086236</v>
      </c>
      <c r="E385" s="105">
        <f t="shared" ref="E385:AD385" si="142">E384*E$373</f>
        <v>618.08970222775918</v>
      </c>
      <c r="F385" s="105">
        <f t="shared" si="142"/>
        <v>31.522574813615719</v>
      </c>
      <c r="G385" s="105">
        <f t="shared" si="142"/>
        <v>0</v>
      </c>
      <c r="H385" s="105">
        <f t="shared" si="142"/>
        <v>0</v>
      </c>
      <c r="I385" s="105">
        <f t="shared" si="142"/>
        <v>0</v>
      </c>
      <c r="J385" s="105">
        <f t="shared" si="142"/>
        <v>0</v>
      </c>
      <c r="K385" s="105">
        <f t="shared" si="142"/>
        <v>0</v>
      </c>
      <c r="L385" s="105">
        <f t="shared" si="142"/>
        <v>0</v>
      </c>
      <c r="M385" s="105">
        <f t="shared" si="142"/>
        <v>0</v>
      </c>
      <c r="N385" s="105">
        <f t="shared" si="142"/>
        <v>0</v>
      </c>
      <c r="O385" s="105">
        <f t="shared" si="142"/>
        <v>0</v>
      </c>
      <c r="P385" s="105">
        <f t="shared" si="142"/>
        <v>0</v>
      </c>
      <c r="Q385" s="105">
        <f t="shared" si="142"/>
        <v>0</v>
      </c>
      <c r="R385" s="105">
        <f t="shared" si="142"/>
        <v>0</v>
      </c>
      <c r="S385" s="105">
        <f t="shared" si="142"/>
        <v>0</v>
      </c>
      <c r="T385" s="105">
        <f t="shared" si="142"/>
        <v>0</v>
      </c>
      <c r="U385" s="105">
        <f t="shared" si="142"/>
        <v>0</v>
      </c>
      <c r="V385" s="105">
        <f t="shared" si="142"/>
        <v>0</v>
      </c>
      <c r="W385" s="105">
        <f t="shared" si="142"/>
        <v>0</v>
      </c>
      <c r="X385" s="105">
        <f t="shared" si="142"/>
        <v>0</v>
      </c>
      <c r="Y385" s="105">
        <f t="shared" si="142"/>
        <v>0</v>
      </c>
      <c r="Z385" s="105">
        <f t="shared" si="142"/>
        <v>0</v>
      </c>
      <c r="AA385" s="105">
        <f t="shared" si="142"/>
        <v>0</v>
      </c>
      <c r="AB385" s="105">
        <f t="shared" si="142"/>
        <v>0</v>
      </c>
      <c r="AC385" s="105">
        <f t="shared" si="142"/>
        <v>0</v>
      </c>
      <c r="AD385" s="105">
        <f t="shared" si="142"/>
        <v>0</v>
      </c>
    </row>
    <row r="386" spans="1:30" ht="14.5" outlineLevel="1">
      <c r="A386" s="276" t="s">
        <v>443</v>
      </c>
      <c r="B386" s="276" t="s">
        <v>27</v>
      </c>
      <c r="C386" s="275">
        <f>18%*2</f>
        <v>0.36</v>
      </c>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row>
    <row r="387" spans="1:30" ht="13.5" outlineLevel="1" thickBot="1">
      <c r="A387" s="134" t="s">
        <v>554</v>
      </c>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c r="AD387" s="15"/>
    </row>
    <row r="388" spans="1:30" s="104" customFormat="1" ht="16" outlineLevel="1" thickBot="1">
      <c r="A388" s="104" t="s">
        <v>445</v>
      </c>
      <c r="B388" s="104" t="s">
        <v>290</v>
      </c>
      <c r="C388" s="105"/>
      <c r="D388" s="278">
        <v>3</v>
      </c>
      <c r="E388" s="105">
        <f t="shared" ref="E388" si="143">D390-D391</f>
        <v>305.98514815086236</v>
      </c>
      <c r="F388" s="105">
        <f>E390-E391</f>
        <v>924.07485037862148</v>
      </c>
      <c r="G388" s="105">
        <f t="shared" ref="G388:AD388" si="144">F390-F391</f>
        <v>611.5823521230318</v>
      </c>
      <c r="H388" s="105">
        <f t="shared" si="144"/>
        <v>391.41270535874037</v>
      </c>
      <c r="I388" s="105">
        <f t="shared" si="144"/>
        <v>250.50413142959385</v>
      </c>
      <c r="J388" s="105">
        <f t="shared" si="144"/>
        <v>160.32264411494009</v>
      </c>
      <c r="K388" s="105">
        <f t="shared" si="144"/>
        <v>102.60649223356165</v>
      </c>
      <c r="L388" s="105">
        <f t="shared" si="144"/>
        <v>65.668155029479465</v>
      </c>
      <c r="M388" s="105">
        <f t="shared" si="144"/>
        <v>42.02761921886686</v>
      </c>
      <c r="N388" s="105">
        <f t="shared" si="144"/>
        <v>26.897676300074792</v>
      </c>
      <c r="O388" s="105">
        <f t="shared" si="144"/>
        <v>17.214512832047866</v>
      </c>
      <c r="P388" s="105">
        <f t="shared" si="144"/>
        <v>11.017288212510636</v>
      </c>
      <c r="Q388" s="105">
        <f t="shared" si="144"/>
        <v>7.0510644560068068</v>
      </c>
      <c r="R388" s="105">
        <f t="shared" si="144"/>
        <v>4.5126812518443558</v>
      </c>
      <c r="S388" s="105">
        <f t="shared" si="144"/>
        <v>2.8881160011803875</v>
      </c>
      <c r="T388" s="105">
        <f t="shared" si="144"/>
        <v>1.8483942407554481</v>
      </c>
      <c r="U388" s="105">
        <f t="shared" si="144"/>
        <v>1.1829723140834867</v>
      </c>
      <c r="V388" s="105">
        <f t="shared" si="144"/>
        <v>1.1829723140834867</v>
      </c>
      <c r="W388" s="105">
        <f t="shared" si="144"/>
        <v>1.1829723140834867</v>
      </c>
      <c r="X388" s="105">
        <f t="shared" si="144"/>
        <v>1.1829723140834867</v>
      </c>
      <c r="Y388" s="105">
        <f t="shared" si="144"/>
        <v>1.1829723140834867</v>
      </c>
      <c r="Z388" s="105">
        <f t="shared" si="144"/>
        <v>1.1829723140834867</v>
      </c>
      <c r="AA388" s="105">
        <f t="shared" si="144"/>
        <v>1.1829723140834867</v>
      </c>
      <c r="AB388" s="105">
        <f t="shared" si="144"/>
        <v>1.1829723140834867</v>
      </c>
      <c r="AC388" s="105">
        <f t="shared" si="144"/>
        <v>1.1829723140834867</v>
      </c>
      <c r="AD388" s="105">
        <f t="shared" si="144"/>
        <v>1.1829723140834867</v>
      </c>
    </row>
    <row r="389" spans="1:30" s="104" customFormat="1" outlineLevel="1">
      <c r="A389" s="104" t="str">
        <f>A385</f>
        <v>Mine &amp; Mineral Processing</v>
      </c>
      <c r="B389" s="104" t="str">
        <f>B385</f>
        <v>A$ millions NOMINAL</v>
      </c>
      <c r="C389" s="105">
        <f>SUM(D389:AD389)</f>
        <v>952.59742519223721</v>
      </c>
      <c r="D389" s="105">
        <f t="shared" ref="D389:AD389" si="145">D385</f>
        <v>302.98514815086236</v>
      </c>
      <c r="E389" s="105">
        <f t="shared" si="145"/>
        <v>618.08970222775918</v>
      </c>
      <c r="F389" s="105">
        <f t="shared" si="145"/>
        <v>31.522574813615719</v>
      </c>
      <c r="G389" s="105">
        <f t="shared" si="145"/>
        <v>0</v>
      </c>
      <c r="H389" s="105">
        <f t="shared" si="145"/>
        <v>0</v>
      </c>
      <c r="I389" s="105">
        <f t="shared" si="145"/>
        <v>0</v>
      </c>
      <c r="J389" s="105">
        <f t="shared" si="145"/>
        <v>0</v>
      </c>
      <c r="K389" s="105">
        <f t="shared" si="145"/>
        <v>0</v>
      </c>
      <c r="L389" s="105">
        <f t="shared" si="145"/>
        <v>0</v>
      </c>
      <c r="M389" s="105">
        <f t="shared" si="145"/>
        <v>0</v>
      </c>
      <c r="N389" s="105">
        <f t="shared" si="145"/>
        <v>0</v>
      </c>
      <c r="O389" s="105">
        <f t="shared" si="145"/>
        <v>0</v>
      </c>
      <c r="P389" s="105">
        <f t="shared" si="145"/>
        <v>0</v>
      </c>
      <c r="Q389" s="105">
        <f t="shared" si="145"/>
        <v>0</v>
      </c>
      <c r="R389" s="105">
        <f t="shared" si="145"/>
        <v>0</v>
      </c>
      <c r="S389" s="105">
        <f t="shared" si="145"/>
        <v>0</v>
      </c>
      <c r="T389" s="105">
        <f t="shared" si="145"/>
        <v>0</v>
      </c>
      <c r="U389" s="105">
        <f t="shared" si="145"/>
        <v>0</v>
      </c>
      <c r="V389" s="105">
        <f t="shared" si="145"/>
        <v>0</v>
      </c>
      <c r="W389" s="105">
        <f t="shared" si="145"/>
        <v>0</v>
      </c>
      <c r="X389" s="105">
        <f t="shared" si="145"/>
        <v>0</v>
      </c>
      <c r="Y389" s="105">
        <f t="shared" si="145"/>
        <v>0</v>
      </c>
      <c r="Z389" s="105">
        <f t="shared" si="145"/>
        <v>0</v>
      </c>
      <c r="AA389" s="105">
        <f t="shared" si="145"/>
        <v>0</v>
      </c>
      <c r="AB389" s="105">
        <f t="shared" si="145"/>
        <v>0</v>
      </c>
      <c r="AC389" s="105">
        <f t="shared" si="145"/>
        <v>0</v>
      </c>
      <c r="AD389" s="105">
        <f t="shared" si="145"/>
        <v>0</v>
      </c>
    </row>
    <row r="390" spans="1:30" s="104" customFormat="1" outlineLevel="1">
      <c r="A390" s="104" t="s">
        <v>168</v>
      </c>
      <c r="B390" s="104" t="s">
        <v>290</v>
      </c>
      <c r="C390" s="105"/>
      <c r="D390" s="106">
        <f t="shared" ref="D390:AD390" si="146">D388+D389</f>
        <v>305.98514815086236</v>
      </c>
      <c r="E390" s="106">
        <f t="shared" si="146"/>
        <v>924.07485037862148</v>
      </c>
      <c r="F390" s="106">
        <f t="shared" si="146"/>
        <v>955.59742519223721</v>
      </c>
      <c r="G390" s="106">
        <f t="shared" si="146"/>
        <v>611.5823521230318</v>
      </c>
      <c r="H390" s="106">
        <f t="shared" si="146"/>
        <v>391.41270535874037</v>
      </c>
      <c r="I390" s="106">
        <f t="shared" si="146"/>
        <v>250.50413142959385</v>
      </c>
      <c r="J390" s="106">
        <f t="shared" si="146"/>
        <v>160.32264411494009</v>
      </c>
      <c r="K390" s="106">
        <f t="shared" si="146"/>
        <v>102.60649223356165</v>
      </c>
      <c r="L390" s="106">
        <f t="shared" si="146"/>
        <v>65.668155029479465</v>
      </c>
      <c r="M390" s="106">
        <f t="shared" si="146"/>
        <v>42.02761921886686</v>
      </c>
      <c r="N390" s="106">
        <f t="shared" si="146"/>
        <v>26.897676300074792</v>
      </c>
      <c r="O390" s="106">
        <f t="shared" si="146"/>
        <v>17.214512832047866</v>
      </c>
      <c r="P390" s="106">
        <f t="shared" si="146"/>
        <v>11.017288212510636</v>
      </c>
      <c r="Q390" s="106">
        <f t="shared" si="146"/>
        <v>7.0510644560068068</v>
      </c>
      <c r="R390" s="106">
        <f t="shared" si="146"/>
        <v>4.5126812518443558</v>
      </c>
      <c r="S390" s="106">
        <f t="shared" si="146"/>
        <v>2.8881160011803875</v>
      </c>
      <c r="T390" s="106">
        <f t="shared" si="146"/>
        <v>1.8483942407554481</v>
      </c>
      <c r="U390" s="106">
        <f t="shared" si="146"/>
        <v>1.1829723140834867</v>
      </c>
      <c r="V390" s="106">
        <f t="shared" si="146"/>
        <v>1.1829723140834867</v>
      </c>
      <c r="W390" s="106">
        <f t="shared" si="146"/>
        <v>1.1829723140834867</v>
      </c>
      <c r="X390" s="106">
        <f t="shared" si="146"/>
        <v>1.1829723140834867</v>
      </c>
      <c r="Y390" s="106">
        <f t="shared" si="146"/>
        <v>1.1829723140834867</v>
      </c>
      <c r="Z390" s="106">
        <f t="shared" si="146"/>
        <v>1.1829723140834867</v>
      </c>
      <c r="AA390" s="106">
        <f t="shared" si="146"/>
        <v>1.1829723140834867</v>
      </c>
      <c r="AB390" s="106">
        <f t="shared" si="146"/>
        <v>1.1829723140834867</v>
      </c>
      <c r="AC390" s="106">
        <f t="shared" si="146"/>
        <v>1.1829723140834867</v>
      </c>
      <c r="AD390" s="106">
        <f t="shared" si="146"/>
        <v>1.1829723140834867</v>
      </c>
    </row>
    <row r="391" spans="1:30" s="104" customFormat="1" ht="12.65" customHeight="1" outlineLevel="1">
      <c r="A391" s="104" t="s">
        <v>447</v>
      </c>
      <c r="B391" s="104" t="s">
        <v>290</v>
      </c>
      <c r="C391" s="105">
        <f>SUM(D391:AD391)</f>
        <v>954.41445287815361</v>
      </c>
      <c r="D391" s="105">
        <f t="shared" ref="D391:AD391" si="147">IF(D154=0,0,D390*$C386)</f>
        <v>0</v>
      </c>
      <c r="E391" s="105">
        <f t="shared" si="147"/>
        <v>0</v>
      </c>
      <c r="F391" s="105">
        <f t="shared" si="147"/>
        <v>344.01507306920536</v>
      </c>
      <c r="G391" s="105">
        <f t="shared" si="147"/>
        <v>220.16964676429143</v>
      </c>
      <c r="H391" s="105">
        <f t="shared" si="147"/>
        <v>140.90857392914651</v>
      </c>
      <c r="I391" s="105">
        <f t="shared" si="147"/>
        <v>90.181487314653779</v>
      </c>
      <c r="J391" s="105">
        <f t="shared" si="147"/>
        <v>57.71615188137843</v>
      </c>
      <c r="K391" s="105">
        <f t="shared" si="147"/>
        <v>36.938337204082195</v>
      </c>
      <c r="L391" s="105">
        <f t="shared" si="147"/>
        <v>23.640535810612608</v>
      </c>
      <c r="M391" s="105">
        <f t="shared" si="147"/>
        <v>15.12994291879207</v>
      </c>
      <c r="N391" s="105">
        <f t="shared" si="147"/>
        <v>9.6831634680269243</v>
      </c>
      <c r="O391" s="105">
        <f t="shared" si="147"/>
        <v>6.1972246195372316</v>
      </c>
      <c r="P391" s="105">
        <f t="shared" si="147"/>
        <v>3.9662237565038287</v>
      </c>
      <c r="Q391" s="105">
        <f t="shared" si="147"/>
        <v>2.5383832041624506</v>
      </c>
      <c r="R391" s="105">
        <f t="shared" si="147"/>
        <v>1.6245652506639681</v>
      </c>
      <c r="S391" s="105">
        <f t="shared" si="147"/>
        <v>1.0397217604249394</v>
      </c>
      <c r="T391" s="105">
        <f t="shared" si="147"/>
        <v>0.66542192667196132</v>
      </c>
      <c r="U391" s="105">
        <f t="shared" si="147"/>
        <v>0</v>
      </c>
      <c r="V391" s="105">
        <f t="shared" si="147"/>
        <v>0</v>
      </c>
      <c r="W391" s="105">
        <f t="shared" si="147"/>
        <v>0</v>
      </c>
      <c r="X391" s="105">
        <f t="shared" si="147"/>
        <v>0</v>
      </c>
      <c r="Y391" s="105">
        <f t="shared" si="147"/>
        <v>0</v>
      </c>
      <c r="Z391" s="105">
        <f t="shared" si="147"/>
        <v>0</v>
      </c>
      <c r="AA391" s="105">
        <f t="shared" si="147"/>
        <v>0</v>
      </c>
      <c r="AB391" s="105">
        <f t="shared" si="147"/>
        <v>0</v>
      </c>
      <c r="AC391" s="105">
        <f t="shared" si="147"/>
        <v>0</v>
      </c>
      <c r="AD391" s="105">
        <f t="shared" si="147"/>
        <v>0</v>
      </c>
    </row>
    <row r="392" spans="1:30" s="104" customFormat="1" ht="12.65" customHeight="1" outlineLevel="1">
      <c r="A392" s="104" t="s">
        <v>448</v>
      </c>
      <c r="B392" s="104" t="s">
        <v>290</v>
      </c>
      <c r="C392" s="105">
        <f>SUM(D392:AD392)</f>
        <v>955.5974251922371</v>
      </c>
      <c r="D392" s="105">
        <f t="shared" ref="D392:AD392" si="148">IF(AND(D154&gt;0,E154=0),D390,D391)</f>
        <v>0</v>
      </c>
      <c r="E392" s="105">
        <f t="shared" si="148"/>
        <v>0</v>
      </c>
      <c r="F392" s="105">
        <f t="shared" si="148"/>
        <v>344.01507306920536</v>
      </c>
      <c r="G392" s="105">
        <f t="shared" si="148"/>
        <v>220.16964676429143</v>
      </c>
      <c r="H392" s="105">
        <f t="shared" si="148"/>
        <v>140.90857392914651</v>
      </c>
      <c r="I392" s="105">
        <f t="shared" si="148"/>
        <v>90.181487314653779</v>
      </c>
      <c r="J392" s="105">
        <f t="shared" si="148"/>
        <v>57.71615188137843</v>
      </c>
      <c r="K392" s="105">
        <f t="shared" si="148"/>
        <v>36.938337204082195</v>
      </c>
      <c r="L392" s="105">
        <f t="shared" si="148"/>
        <v>23.640535810612608</v>
      </c>
      <c r="M392" s="105">
        <f t="shared" si="148"/>
        <v>15.12994291879207</v>
      </c>
      <c r="N392" s="105">
        <f t="shared" si="148"/>
        <v>9.6831634680269243</v>
      </c>
      <c r="O392" s="105">
        <f t="shared" si="148"/>
        <v>6.1972246195372316</v>
      </c>
      <c r="P392" s="105">
        <f t="shared" si="148"/>
        <v>3.9662237565038287</v>
      </c>
      <c r="Q392" s="105">
        <f t="shared" si="148"/>
        <v>2.5383832041624506</v>
      </c>
      <c r="R392" s="105">
        <f t="shared" si="148"/>
        <v>1.6245652506639681</v>
      </c>
      <c r="S392" s="105">
        <f t="shared" si="148"/>
        <v>1.0397217604249394</v>
      </c>
      <c r="T392" s="105">
        <f t="shared" si="148"/>
        <v>1.8483942407554481</v>
      </c>
      <c r="U392" s="105">
        <f t="shared" si="148"/>
        <v>0</v>
      </c>
      <c r="V392" s="105">
        <f t="shared" si="148"/>
        <v>0</v>
      </c>
      <c r="W392" s="105">
        <f t="shared" si="148"/>
        <v>0</v>
      </c>
      <c r="X392" s="105">
        <f t="shared" si="148"/>
        <v>0</v>
      </c>
      <c r="Y392" s="105">
        <f t="shared" si="148"/>
        <v>0</v>
      </c>
      <c r="Z392" s="105">
        <f t="shared" si="148"/>
        <v>0</v>
      </c>
      <c r="AA392" s="105">
        <f t="shared" si="148"/>
        <v>0</v>
      </c>
      <c r="AB392" s="105">
        <f t="shared" si="148"/>
        <v>0</v>
      </c>
      <c r="AC392" s="105">
        <f t="shared" si="148"/>
        <v>0</v>
      </c>
      <c r="AD392" s="105">
        <f t="shared" si="148"/>
        <v>0</v>
      </c>
    </row>
    <row r="393" spans="1:30" outlineLevel="1">
      <c r="A393" s="143" t="s">
        <v>444</v>
      </c>
      <c r="C393" s="42" t="str">
        <f>IF(C385+D388=C392,"OK","CHECK!")</f>
        <v>OK</v>
      </c>
      <c r="D393" s="42"/>
      <c r="E393" s="42"/>
      <c r="F393" s="42"/>
      <c r="G393" s="42"/>
      <c r="H393" s="42"/>
      <c r="I393" s="42"/>
      <c r="J393" s="42"/>
      <c r="K393" s="42"/>
      <c r="L393" s="42"/>
      <c r="M393" s="42"/>
      <c r="N393" s="42"/>
      <c r="O393" s="42"/>
      <c r="P393" s="42"/>
      <c r="Q393" s="42"/>
      <c r="R393" s="42"/>
      <c r="S393" s="42"/>
      <c r="T393" s="42"/>
      <c r="U393" s="42"/>
      <c r="V393" s="42"/>
      <c r="W393" s="42"/>
      <c r="X393" s="42"/>
      <c r="Y393" s="42"/>
      <c r="Z393" s="42"/>
      <c r="AA393" s="42"/>
      <c r="AB393" s="42"/>
      <c r="AC393" s="42"/>
      <c r="AD393" s="42"/>
    </row>
    <row r="394" spans="1:30" outlineLevel="1">
      <c r="A394" s="49" t="s">
        <v>466</v>
      </c>
      <c r="C394" s="42"/>
      <c r="D394" s="42"/>
      <c r="E394" s="42"/>
      <c r="F394" s="42"/>
      <c r="G394" s="42"/>
      <c r="H394" s="42"/>
      <c r="I394" s="42"/>
      <c r="J394" s="42"/>
      <c r="K394" s="42"/>
      <c r="L394" s="42"/>
      <c r="M394" s="42"/>
      <c r="N394" s="42"/>
      <c r="O394" s="42"/>
      <c r="P394" s="42"/>
      <c r="Q394" s="42"/>
      <c r="R394" s="42"/>
      <c r="S394" s="42"/>
      <c r="T394" s="42"/>
      <c r="U394" s="42"/>
      <c r="V394" s="42"/>
      <c r="W394" s="42"/>
      <c r="X394" s="42"/>
      <c r="Y394" s="42"/>
      <c r="Z394" s="42"/>
      <c r="AA394" s="42"/>
      <c r="AB394" s="42"/>
      <c r="AC394" s="42"/>
      <c r="AD394" s="42"/>
    </row>
    <row r="395" spans="1:30" outlineLevel="1">
      <c r="A395" s="134" t="s">
        <v>555</v>
      </c>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c r="AC395" s="15"/>
      <c r="AD395" s="15"/>
    </row>
    <row r="396" spans="1:30" outlineLevel="1">
      <c r="A396" s="45" t="str">
        <f t="shared" ref="A396:B400" si="149">A341</f>
        <v>Infrastructure &amp; Utiities</v>
      </c>
      <c r="B396" s="45" t="str">
        <f t="shared" si="149"/>
        <v>A$ million Real</v>
      </c>
      <c r="C396" s="42">
        <f>SUM(D396:AD396)</f>
        <v>208</v>
      </c>
      <c r="D396" s="42">
        <f t="shared" ref="D396:AD400" si="150">D341</f>
        <v>50</v>
      </c>
      <c r="E396" s="42">
        <f t="shared" si="150"/>
        <v>150</v>
      </c>
      <c r="F396" s="42">
        <f t="shared" si="150"/>
        <v>8</v>
      </c>
      <c r="G396" s="42">
        <f t="shared" si="150"/>
        <v>0</v>
      </c>
      <c r="H396" s="42">
        <f t="shared" si="150"/>
        <v>0</v>
      </c>
      <c r="I396" s="42">
        <f t="shared" si="150"/>
        <v>0</v>
      </c>
      <c r="J396" s="42">
        <f t="shared" si="150"/>
        <v>0</v>
      </c>
      <c r="K396" s="42">
        <f t="shared" si="150"/>
        <v>0</v>
      </c>
      <c r="L396" s="42">
        <f t="shared" si="150"/>
        <v>0</v>
      </c>
      <c r="M396" s="42">
        <f t="shared" si="150"/>
        <v>0</v>
      </c>
      <c r="N396" s="42">
        <f t="shared" si="150"/>
        <v>0</v>
      </c>
      <c r="O396" s="42">
        <f t="shared" si="150"/>
        <v>0</v>
      </c>
      <c r="P396" s="42">
        <f t="shared" si="150"/>
        <v>0</v>
      </c>
      <c r="Q396" s="42">
        <f t="shared" si="150"/>
        <v>0</v>
      </c>
      <c r="R396" s="42">
        <f t="shared" si="150"/>
        <v>0</v>
      </c>
      <c r="S396" s="42">
        <f t="shared" si="150"/>
        <v>0</v>
      </c>
      <c r="T396" s="42">
        <f t="shared" si="150"/>
        <v>0</v>
      </c>
      <c r="U396" s="42">
        <f t="shared" si="150"/>
        <v>0</v>
      </c>
      <c r="V396" s="42">
        <f t="shared" si="150"/>
        <v>0</v>
      </c>
      <c r="W396" s="42">
        <f t="shared" si="150"/>
        <v>0</v>
      </c>
      <c r="X396" s="42">
        <f t="shared" si="150"/>
        <v>0</v>
      </c>
      <c r="Y396" s="42">
        <f t="shared" si="150"/>
        <v>0</v>
      </c>
      <c r="Z396" s="42">
        <f t="shared" si="150"/>
        <v>0</v>
      </c>
      <c r="AA396" s="42">
        <f t="shared" si="150"/>
        <v>0</v>
      </c>
      <c r="AB396" s="42">
        <f t="shared" si="150"/>
        <v>0</v>
      </c>
      <c r="AC396" s="42">
        <f t="shared" si="150"/>
        <v>0</v>
      </c>
      <c r="AD396" s="42">
        <f t="shared" si="150"/>
        <v>0</v>
      </c>
    </row>
    <row r="397" spans="1:30" outlineLevel="1">
      <c r="A397" s="45" t="str">
        <f t="shared" si="149"/>
        <v>Spares and First Fill</v>
      </c>
      <c r="B397" s="45" t="str">
        <f t="shared" si="149"/>
        <v>A$ million Real</v>
      </c>
      <c r="C397" s="42">
        <f t="shared" ref="C397:C401" si="151">SUM(D397:AD397)</f>
        <v>12</v>
      </c>
      <c r="D397" s="42">
        <f t="shared" si="150"/>
        <v>0</v>
      </c>
      <c r="E397" s="42">
        <f t="shared" si="150"/>
        <v>0</v>
      </c>
      <c r="F397" s="42">
        <f t="shared" si="150"/>
        <v>12</v>
      </c>
      <c r="G397" s="42">
        <f t="shared" si="150"/>
        <v>0</v>
      </c>
      <c r="H397" s="42">
        <f t="shared" si="150"/>
        <v>0</v>
      </c>
      <c r="I397" s="42">
        <f t="shared" si="150"/>
        <v>0</v>
      </c>
      <c r="J397" s="42">
        <f t="shared" si="150"/>
        <v>0</v>
      </c>
      <c r="K397" s="42">
        <f t="shared" si="150"/>
        <v>0</v>
      </c>
      <c r="L397" s="42">
        <f t="shared" si="150"/>
        <v>0</v>
      </c>
      <c r="M397" s="42">
        <f t="shared" si="150"/>
        <v>0</v>
      </c>
      <c r="N397" s="42">
        <f t="shared" si="150"/>
        <v>0</v>
      </c>
      <c r="O397" s="42">
        <f t="shared" si="150"/>
        <v>0</v>
      </c>
      <c r="P397" s="42">
        <f t="shared" si="150"/>
        <v>0</v>
      </c>
      <c r="Q397" s="42">
        <f t="shared" si="150"/>
        <v>0</v>
      </c>
      <c r="R397" s="42">
        <f t="shared" si="150"/>
        <v>0</v>
      </c>
      <c r="S397" s="42">
        <f t="shared" si="150"/>
        <v>0</v>
      </c>
      <c r="T397" s="42">
        <f t="shared" si="150"/>
        <v>0</v>
      </c>
      <c r="U397" s="42">
        <f t="shared" si="150"/>
        <v>0</v>
      </c>
      <c r="V397" s="42">
        <f t="shared" si="150"/>
        <v>0</v>
      </c>
      <c r="W397" s="42">
        <f t="shared" si="150"/>
        <v>0</v>
      </c>
      <c r="X397" s="42">
        <f t="shared" si="150"/>
        <v>0</v>
      </c>
      <c r="Y397" s="42">
        <f t="shared" si="150"/>
        <v>0</v>
      </c>
      <c r="Z397" s="42">
        <f t="shared" si="150"/>
        <v>0</v>
      </c>
      <c r="AA397" s="42">
        <f t="shared" si="150"/>
        <v>0</v>
      </c>
      <c r="AB397" s="42">
        <f t="shared" si="150"/>
        <v>0</v>
      </c>
      <c r="AC397" s="42">
        <f t="shared" si="150"/>
        <v>0</v>
      </c>
      <c r="AD397" s="42">
        <f t="shared" si="150"/>
        <v>0</v>
      </c>
    </row>
    <row r="398" spans="1:30" outlineLevel="1">
      <c r="A398" s="45" t="str">
        <f t="shared" si="149"/>
        <v>EPCM</v>
      </c>
      <c r="B398" s="45" t="str">
        <f t="shared" si="149"/>
        <v>A$ million Real</v>
      </c>
      <c r="C398" s="42">
        <f t="shared" si="151"/>
        <v>130</v>
      </c>
      <c r="D398" s="42">
        <f t="shared" si="150"/>
        <v>40</v>
      </c>
      <c r="E398" s="42">
        <f t="shared" si="150"/>
        <v>80</v>
      </c>
      <c r="F398" s="42">
        <f t="shared" si="150"/>
        <v>10</v>
      </c>
      <c r="G398" s="42">
        <f t="shared" si="150"/>
        <v>0</v>
      </c>
      <c r="H398" s="42">
        <f t="shared" si="150"/>
        <v>0</v>
      </c>
      <c r="I398" s="42">
        <f t="shared" si="150"/>
        <v>0</v>
      </c>
      <c r="J398" s="42">
        <f t="shared" si="150"/>
        <v>0</v>
      </c>
      <c r="K398" s="42">
        <f t="shared" si="150"/>
        <v>0</v>
      </c>
      <c r="L398" s="42">
        <f t="shared" si="150"/>
        <v>0</v>
      </c>
      <c r="M398" s="42">
        <f t="shared" si="150"/>
        <v>0</v>
      </c>
      <c r="N398" s="42">
        <f t="shared" si="150"/>
        <v>0</v>
      </c>
      <c r="O398" s="42">
        <f t="shared" si="150"/>
        <v>0</v>
      </c>
      <c r="P398" s="42">
        <f t="shared" si="150"/>
        <v>0</v>
      </c>
      <c r="Q398" s="42">
        <f t="shared" si="150"/>
        <v>0</v>
      </c>
      <c r="R398" s="42">
        <f t="shared" si="150"/>
        <v>0</v>
      </c>
      <c r="S398" s="42">
        <f t="shared" si="150"/>
        <v>0</v>
      </c>
      <c r="T398" s="42">
        <f t="shared" si="150"/>
        <v>0</v>
      </c>
      <c r="U398" s="42">
        <f t="shared" si="150"/>
        <v>0</v>
      </c>
      <c r="V398" s="42">
        <f t="shared" si="150"/>
        <v>0</v>
      </c>
      <c r="W398" s="42">
        <f t="shared" si="150"/>
        <v>0</v>
      </c>
      <c r="X398" s="42">
        <f t="shared" si="150"/>
        <v>0</v>
      </c>
      <c r="Y398" s="42">
        <f t="shared" si="150"/>
        <v>0</v>
      </c>
      <c r="Z398" s="42">
        <f t="shared" si="150"/>
        <v>0</v>
      </c>
      <c r="AA398" s="42">
        <f t="shared" si="150"/>
        <v>0</v>
      </c>
      <c r="AB398" s="42">
        <f t="shared" si="150"/>
        <v>0</v>
      </c>
      <c r="AC398" s="42">
        <f t="shared" si="150"/>
        <v>0</v>
      </c>
      <c r="AD398" s="42">
        <f t="shared" si="150"/>
        <v>0</v>
      </c>
    </row>
    <row r="399" spans="1:30" outlineLevel="1">
      <c r="A399" s="45" t="str">
        <f t="shared" si="149"/>
        <v>Indirects &amp; Contingency</v>
      </c>
      <c r="B399" s="45" t="str">
        <f t="shared" si="149"/>
        <v>A$ million Real</v>
      </c>
      <c r="C399" s="42">
        <f t="shared" si="151"/>
        <v>77</v>
      </c>
      <c r="D399" s="42">
        <f t="shared" si="150"/>
        <v>25</v>
      </c>
      <c r="E399" s="42">
        <f t="shared" si="150"/>
        <v>45</v>
      </c>
      <c r="F399" s="42">
        <f t="shared" si="150"/>
        <v>7</v>
      </c>
      <c r="G399" s="42">
        <f t="shared" si="150"/>
        <v>0</v>
      </c>
      <c r="H399" s="42">
        <f t="shared" si="150"/>
        <v>0</v>
      </c>
      <c r="I399" s="42">
        <f t="shared" si="150"/>
        <v>0</v>
      </c>
      <c r="J399" s="42">
        <f t="shared" si="150"/>
        <v>0</v>
      </c>
      <c r="K399" s="42">
        <f t="shared" si="150"/>
        <v>0</v>
      </c>
      <c r="L399" s="42">
        <f t="shared" si="150"/>
        <v>0</v>
      </c>
      <c r="M399" s="42">
        <f t="shared" si="150"/>
        <v>0</v>
      </c>
      <c r="N399" s="42">
        <f t="shared" si="150"/>
        <v>0</v>
      </c>
      <c r="O399" s="42">
        <f t="shared" si="150"/>
        <v>0</v>
      </c>
      <c r="P399" s="42">
        <f t="shared" si="150"/>
        <v>0</v>
      </c>
      <c r="Q399" s="42">
        <f t="shared" si="150"/>
        <v>0</v>
      </c>
      <c r="R399" s="42">
        <f t="shared" si="150"/>
        <v>0</v>
      </c>
      <c r="S399" s="42">
        <f t="shared" si="150"/>
        <v>0</v>
      </c>
      <c r="T399" s="42">
        <f t="shared" si="150"/>
        <v>0</v>
      </c>
      <c r="U399" s="42">
        <f t="shared" si="150"/>
        <v>0</v>
      </c>
      <c r="V399" s="42">
        <f t="shared" si="150"/>
        <v>0</v>
      </c>
      <c r="W399" s="42">
        <f t="shared" si="150"/>
        <v>0</v>
      </c>
      <c r="X399" s="42">
        <f t="shared" si="150"/>
        <v>0</v>
      </c>
      <c r="Y399" s="42">
        <f t="shared" si="150"/>
        <v>0</v>
      </c>
      <c r="Z399" s="42">
        <f t="shared" si="150"/>
        <v>0</v>
      </c>
      <c r="AA399" s="42">
        <f t="shared" si="150"/>
        <v>0</v>
      </c>
      <c r="AB399" s="42">
        <f t="shared" si="150"/>
        <v>0</v>
      </c>
      <c r="AC399" s="42">
        <f t="shared" si="150"/>
        <v>0</v>
      </c>
      <c r="AD399" s="42">
        <f t="shared" si="150"/>
        <v>0</v>
      </c>
    </row>
    <row r="400" spans="1:30" outlineLevel="1">
      <c r="A400" s="45" t="str">
        <f t="shared" si="149"/>
        <v>Other</v>
      </c>
      <c r="B400" s="45" t="str">
        <f t="shared" si="149"/>
        <v>A$ million Real</v>
      </c>
      <c r="C400" s="42">
        <f t="shared" si="151"/>
        <v>0</v>
      </c>
      <c r="D400" s="42">
        <f t="shared" si="150"/>
        <v>0</v>
      </c>
      <c r="E400" s="42">
        <f t="shared" si="150"/>
        <v>0</v>
      </c>
      <c r="F400" s="42">
        <f t="shared" si="150"/>
        <v>0</v>
      </c>
      <c r="G400" s="42">
        <f t="shared" si="150"/>
        <v>0</v>
      </c>
      <c r="H400" s="42">
        <f t="shared" si="150"/>
        <v>0</v>
      </c>
      <c r="I400" s="42">
        <f t="shared" si="150"/>
        <v>0</v>
      </c>
      <c r="J400" s="42">
        <f t="shared" si="150"/>
        <v>0</v>
      </c>
      <c r="K400" s="42">
        <f t="shared" si="150"/>
        <v>0</v>
      </c>
      <c r="L400" s="42">
        <f t="shared" si="150"/>
        <v>0</v>
      </c>
      <c r="M400" s="42">
        <f t="shared" si="150"/>
        <v>0</v>
      </c>
      <c r="N400" s="42">
        <f t="shared" si="150"/>
        <v>0</v>
      </c>
      <c r="O400" s="42">
        <f t="shared" si="150"/>
        <v>0</v>
      </c>
      <c r="P400" s="42">
        <f t="shared" si="150"/>
        <v>0</v>
      </c>
      <c r="Q400" s="42">
        <f t="shared" si="150"/>
        <v>0</v>
      </c>
      <c r="R400" s="42">
        <f t="shared" si="150"/>
        <v>0</v>
      </c>
      <c r="S400" s="42">
        <f t="shared" si="150"/>
        <v>0</v>
      </c>
      <c r="T400" s="42">
        <f t="shared" si="150"/>
        <v>0</v>
      </c>
      <c r="U400" s="42">
        <f t="shared" si="150"/>
        <v>0</v>
      </c>
      <c r="V400" s="42">
        <f t="shared" si="150"/>
        <v>0</v>
      </c>
      <c r="W400" s="42">
        <f t="shared" si="150"/>
        <v>0</v>
      </c>
      <c r="X400" s="42">
        <f t="shared" si="150"/>
        <v>0</v>
      </c>
      <c r="Y400" s="42">
        <f t="shared" si="150"/>
        <v>0</v>
      </c>
      <c r="Z400" s="42">
        <f t="shared" si="150"/>
        <v>0</v>
      </c>
      <c r="AA400" s="42">
        <f t="shared" si="150"/>
        <v>0</v>
      </c>
      <c r="AB400" s="42">
        <f t="shared" si="150"/>
        <v>0</v>
      </c>
      <c r="AC400" s="42">
        <f t="shared" si="150"/>
        <v>0</v>
      </c>
      <c r="AD400" s="42">
        <f t="shared" si="150"/>
        <v>0</v>
      </c>
    </row>
    <row r="401" spans="1:30" outlineLevel="1">
      <c r="A401" s="45" t="str">
        <f>A354</f>
        <v>ongoing capex</v>
      </c>
      <c r="B401" s="45" t="str">
        <f>B354</f>
        <v>A$ million Real</v>
      </c>
      <c r="C401" s="42">
        <f t="shared" si="151"/>
        <v>898.2</v>
      </c>
      <c r="D401" s="42">
        <f t="shared" ref="D401:AD401" si="152">D354</f>
        <v>0</v>
      </c>
      <c r="E401" s="42">
        <f t="shared" si="152"/>
        <v>0</v>
      </c>
      <c r="F401" s="42">
        <f t="shared" si="152"/>
        <v>55.88</v>
      </c>
      <c r="G401" s="42">
        <f t="shared" si="152"/>
        <v>55.88</v>
      </c>
      <c r="H401" s="42">
        <f t="shared" si="152"/>
        <v>55.88</v>
      </c>
      <c r="I401" s="42">
        <f t="shared" si="152"/>
        <v>80.88</v>
      </c>
      <c r="J401" s="42">
        <f t="shared" si="152"/>
        <v>55.88</v>
      </c>
      <c r="K401" s="42">
        <f t="shared" si="152"/>
        <v>55.88</v>
      </c>
      <c r="L401" s="42">
        <f t="shared" si="152"/>
        <v>55.88</v>
      </c>
      <c r="M401" s="42">
        <f t="shared" si="152"/>
        <v>75.88</v>
      </c>
      <c r="N401" s="42">
        <f t="shared" si="152"/>
        <v>55.88</v>
      </c>
      <c r="O401" s="42">
        <f t="shared" si="152"/>
        <v>55.88</v>
      </c>
      <c r="P401" s="42">
        <f t="shared" si="152"/>
        <v>55.88</v>
      </c>
      <c r="Q401" s="42">
        <f t="shared" si="152"/>
        <v>70.88</v>
      </c>
      <c r="R401" s="42">
        <f t="shared" si="152"/>
        <v>55.88</v>
      </c>
      <c r="S401" s="42">
        <f t="shared" si="152"/>
        <v>55.88</v>
      </c>
      <c r="T401" s="42">
        <f t="shared" si="152"/>
        <v>55.88</v>
      </c>
      <c r="U401" s="42">
        <f t="shared" si="152"/>
        <v>0</v>
      </c>
      <c r="V401" s="42">
        <f t="shared" si="152"/>
        <v>0</v>
      </c>
      <c r="W401" s="42">
        <f t="shared" si="152"/>
        <v>0</v>
      </c>
      <c r="X401" s="42">
        <f t="shared" si="152"/>
        <v>0</v>
      </c>
      <c r="Y401" s="42">
        <f t="shared" si="152"/>
        <v>0</v>
      </c>
      <c r="Z401" s="42">
        <f t="shared" si="152"/>
        <v>0</v>
      </c>
      <c r="AA401" s="42">
        <f t="shared" si="152"/>
        <v>0</v>
      </c>
      <c r="AB401" s="42">
        <f t="shared" si="152"/>
        <v>0</v>
      </c>
      <c r="AC401" s="42">
        <f t="shared" si="152"/>
        <v>0</v>
      </c>
      <c r="AD401" s="42">
        <f t="shared" si="152"/>
        <v>0</v>
      </c>
    </row>
    <row r="402" spans="1:30" outlineLevel="1">
      <c r="A402" s="45" t="str">
        <f>A394</f>
        <v>3. Other Capex incl ongoing capex</v>
      </c>
      <c r="B402" s="45" t="s">
        <v>285</v>
      </c>
      <c r="C402" s="42">
        <f>SUM(D402:AD402)</f>
        <v>1325.2000000000003</v>
      </c>
      <c r="D402" s="70">
        <f>SUM(D396:D401)</f>
        <v>115</v>
      </c>
      <c r="E402" s="70">
        <f t="shared" ref="E402:AD402" si="153">SUM(E396:E401)</f>
        <v>275</v>
      </c>
      <c r="F402" s="70">
        <f t="shared" si="153"/>
        <v>92.88</v>
      </c>
      <c r="G402" s="70">
        <f t="shared" si="153"/>
        <v>55.88</v>
      </c>
      <c r="H402" s="70">
        <f t="shared" si="153"/>
        <v>55.88</v>
      </c>
      <c r="I402" s="70">
        <f t="shared" si="153"/>
        <v>80.88</v>
      </c>
      <c r="J402" s="70">
        <f t="shared" si="153"/>
        <v>55.88</v>
      </c>
      <c r="K402" s="70">
        <f t="shared" si="153"/>
        <v>55.88</v>
      </c>
      <c r="L402" s="70">
        <f t="shared" si="153"/>
        <v>55.88</v>
      </c>
      <c r="M402" s="70">
        <f t="shared" si="153"/>
        <v>75.88</v>
      </c>
      <c r="N402" s="70">
        <f t="shared" si="153"/>
        <v>55.88</v>
      </c>
      <c r="O402" s="70">
        <f t="shared" si="153"/>
        <v>55.88</v>
      </c>
      <c r="P402" s="70">
        <f t="shared" si="153"/>
        <v>55.88</v>
      </c>
      <c r="Q402" s="70">
        <f t="shared" si="153"/>
        <v>70.88</v>
      </c>
      <c r="R402" s="70">
        <f t="shared" si="153"/>
        <v>55.88</v>
      </c>
      <c r="S402" s="70">
        <f t="shared" si="153"/>
        <v>55.88</v>
      </c>
      <c r="T402" s="70">
        <f t="shared" si="153"/>
        <v>55.88</v>
      </c>
      <c r="U402" s="70">
        <f t="shared" si="153"/>
        <v>0</v>
      </c>
      <c r="V402" s="70">
        <f t="shared" si="153"/>
        <v>0</v>
      </c>
      <c r="W402" s="70">
        <f t="shared" si="153"/>
        <v>0</v>
      </c>
      <c r="X402" s="70">
        <f t="shared" si="153"/>
        <v>0</v>
      </c>
      <c r="Y402" s="70">
        <f t="shared" si="153"/>
        <v>0</v>
      </c>
      <c r="Z402" s="70">
        <f t="shared" si="153"/>
        <v>0</v>
      </c>
      <c r="AA402" s="70">
        <f t="shared" si="153"/>
        <v>0</v>
      </c>
      <c r="AB402" s="70">
        <f t="shared" si="153"/>
        <v>0</v>
      </c>
      <c r="AC402" s="70">
        <f t="shared" si="153"/>
        <v>0</v>
      </c>
      <c r="AD402" s="70">
        <f t="shared" si="153"/>
        <v>0</v>
      </c>
    </row>
    <row r="403" spans="1:30" outlineLevel="1">
      <c r="A403" s="45"/>
      <c r="B403" s="45"/>
      <c r="C403" s="42"/>
      <c r="D403" s="42"/>
      <c r="E403" s="42"/>
      <c r="F403" s="42"/>
      <c r="G403" s="42"/>
      <c r="H403" s="42"/>
      <c r="I403" s="42"/>
      <c r="J403" s="42"/>
      <c r="K403" s="42"/>
      <c r="L403" s="42"/>
      <c r="M403" s="42"/>
      <c r="N403" s="42"/>
      <c r="O403" s="42"/>
      <c r="P403" s="42"/>
      <c r="Q403" s="42"/>
      <c r="R403" s="42"/>
      <c r="S403" s="42"/>
      <c r="T403" s="42"/>
      <c r="U403" s="42"/>
      <c r="V403" s="42"/>
      <c r="W403" s="42"/>
      <c r="X403" s="42"/>
      <c r="Y403" s="42"/>
      <c r="Z403" s="42"/>
      <c r="AA403" s="42"/>
      <c r="AB403" s="42"/>
      <c r="AC403" s="42"/>
      <c r="AD403" s="42"/>
    </row>
    <row r="404" spans="1:30" s="104" customFormat="1" outlineLevel="1">
      <c r="A404" s="104" t="str">
        <f>A402</f>
        <v>3. Other Capex incl ongoing capex</v>
      </c>
      <c r="B404" s="104" t="s">
        <v>290</v>
      </c>
      <c r="C404" s="105">
        <f>SUM(D404:AD404)</f>
        <v>1525.3279239500839</v>
      </c>
      <c r="D404" s="105">
        <f>D402*D$373</f>
        <v>116.1443067911639</v>
      </c>
      <c r="E404" s="105">
        <f t="shared" ref="E404:AD404" si="154">E402*E$373</f>
        <v>283.29111352105633</v>
      </c>
      <c r="F404" s="105">
        <f t="shared" si="154"/>
        <v>97.59389162295426</v>
      </c>
      <c r="G404" s="105">
        <f t="shared" si="154"/>
        <v>59.890370339884775</v>
      </c>
      <c r="H404" s="105">
        <f t="shared" si="154"/>
        <v>61.088177746682476</v>
      </c>
      <c r="I404" s="105">
        <f t="shared" si="154"/>
        <v>90.186615112289047</v>
      </c>
      <c r="J404" s="105">
        <f t="shared" si="154"/>
        <v>63.55614012764844</v>
      </c>
      <c r="K404" s="105">
        <f t="shared" si="154"/>
        <v>64.827262930201414</v>
      </c>
      <c r="L404" s="105">
        <f t="shared" si="154"/>
        <v>66.123808188805441</v>
      </c>
      <c r="M404" s="105">
        <f t="shared" si="154"/>
        <v>91.585970949783245</v>
      </c>
      <c r="N404" s="105">
        <f t="shared" si="154"/>
        <v>68.79521003963319</v>
      </c>
      <c r="O404" s="105">
        <f t="shared" si="154"/>
        <v>70.171114240425851</v>
      </c>
      <c r="P404" s="105">
        <f t="shared" si="154"/>
        <v>71.574536525234365</v>
      </c>
      <c r="Q404" s="105">
        <f t="shared" si="154"/>
        <v>92.603207084588107</v>
      </c>
      <c r="R404" s="105">
        <f t="shared" si="154"/>
        <v>74.466147800853832</v>
      </c>
      <c r="S404" s="105">
        <f t="shared" si="154"/>
        <v>75.955470756870923</v>
      </c>
      <c r="T404" s="105">
        <f t="shared" si="154"/>
        <v>77.474580172008345</v>
      </c>
      <c r="U404" s="105">
        <f t="shared" si="154"/>
        <v>0</v>
      </c>
      <c r="V404" s="105">
        <f t="shared" si="154"/>
        <v>0</v>
      </c>
      <c r="W404" s="105">
        <f t="shared" si="154"/>
        <v>0</v>
      </c>
      <c r="X404" s="105">
        <f t="shared" si="154"/>
        <v>0</v>
      </c>
      <c r="Y404" s="105">
        <f t="shared" si="154"/>
        <v>0</v>
      </c>
      <c r="Z404" s="105">
        <f t="shared" si="154"/>
        <v>0</v>
      </c>
      <c r="AA404" s="105">
        <f t="shared" si="154"/>
        <v>0</v>
      </c>
      <c r="AB404" s="105">
        <f t="shared" si="154"/>
        <v>0</v>
      </c>
      <c r="AC404" s="105">
        <f t="shared" si="154"/>
        <v>0</v>
      </c>
      <c r="AD404" s="105">
        <f t="shared" si="154"/>
        <v>0</v>
      </c>
    </row>
    <row r="405" spans="1:30" ht="14.5" outlineLevel="1">
      <c r="A405" s="276" t="s">
        <v>13</v>
      </c>
      <c r="B405" s="276" t="s">
        <v>27</v>
      </c>
      <c r="C405" s="275">
        <f>9%*2</f>
        <v>0.18</v>
      </c>
      <c r="D405" s="15"/>
      <c r="E405" s="15"/>
      <c r="F405" s="15"/>
      <c r="G405" s="15"/>
      <c r="H405" s="15"/>
      <c r="I405" s="15"/>
      <c r="J405" s="15"/>
      <c r="K405" s="15"/>
      <c r="L405" s="15"/>
      <c r="M405" s="15"/>
      <c r="N405" s="15"/>
      <c r="O405" s="15"/>
      <c r="P405" s="15"/>
      <c r="Q405" s="15"/>
      <c r="R405" s="15"/>
      <c r="S405" s="15"/>
      <c r="T405" s="15"/>
      <c r="U405" s="15"/>
      <c r="V405" s="15"/>
      <c r="W405" s="15"/>
      <c r="X405" s="15"/>
      <c r="Y405" s="15"/>
      <c r="Z405" s="15"/>
      <c r="AA405" s="15"/>
      <c r="AB405" s="15"/>
      <c r="AC405" s="15"/>
      <c r="AD405" s="15"/>
    </row>
    <row r="406" spans="1:30" ht="13.5" outlineLevel="1" thickBot="1">
      <c r="A406" s="134" t="s">
        <v>556</v>
      </c>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row>
    <row r="407" spans="1:30" s="104" customFormat="1" ht="15" outlineLevel="1" thickBot="1">
      <c r="A407" s="104" t="s">
        <v>445</v>
      </c>
      <c r="B407" s="104" t="s">
        <v>290</v>
      </c>
      <c r="C407" s="105"/>
      <c r="D407" s="277">
        <v>13</v>
      </c>
      <c r="E407" s="105">
        <f t="shared" ref="E407" si="155">D409-D410</f>
        <v>129.1443067911639</v>
      </c>
      <c r="F407" s="105">
        <f>E409-E410</f>
        <v>412.43542031222023</v>
      </c>
      <c r="G407" s="105">
        <f t="shared" ref="G407:AD407" si="156">F409-F410</f>
        <v>418.2240357868431</v>
      </c>
      <c r="H407" s="105">
        <f t="shared" si="156"/>
        <v>392.05381302391686</v>
      </c>
      <c r="I407" s="105">
        <f t="shared" si="156"/>
        <v>371.57643243189148</v>
      </c>
      <c r="J407" s="105">
        <f t="shared" si="156"/>
        <v>378.64569898622801</v>
      </c>
      <c r="K407" s="105">
        <f t="shared" si="156"/>
        <v>362.6055080733787</v>
      </c>
      <c r="L407" s="105">
        <f t="shared" si="156"/>
        <v>350.49487222293567</v>
      </c>
      <c r="M407" s="105">
        <f t="shared" si="156"/>
        <v>341.62731793762771</v>
      </c>
      <c r="N407" s="105">
        <f t="shared" si="156"/>
        <v>355.234896887677</v>
      </c>
      <c r="O407" s="105">
        <f t="shared" si="156"/>
        <v>347.70468768039433</v>
      </c>
      <c r="P407" s="105">
        <f t="shared" si="156"/>
        <v>342.65815757507255</v>
      </c>
      <c r="Q407" s="105">
        <f t="shared" si="156"/>
        <v>339.67080916225166</v>
      </c>
      <c r="R407" s="105">
        <f t="shared" si="156"/>
        <v>354.46469332240861</v>
      </c>
      <c r="S407" s="105">
        <f t="shared" si="156"/>
        <v>351.72328972107522</v>
      </c>
      <c r="T407" s="105">
        <f t="shared" si="156"/>
        <v>350.69658359191584</v>
      </c>
      <c r="U407" s="105">
        <f t="shared" si="156"/>
        <v>351.10035428641783</v>
      </c>
      <c r="V407" s="105">
        <f t="shared" si="156"/>
        <v>351.10035428641783</v>
      </c>
      <c r="W407" s="105">
        <f t="shared" si="156"/>
        <v>351.10035428641783</v>
      </c>
      <c r="X407" s="105">
        <f t="shared" si="156"/>
        <v>351.10035428641783</v>
      </c>
      <c r="Y407" s="105">
        <f t="shared" si="156"/>
        <v>351.10035428641783</v>
      </c>
      <c r="Z407" s="105">
        <f t="shared" si="156"/>
        <v>351.10035428641783</v>
      </c>
      <c r="AA407" s="105">
        <f t="shared" si="156"/>
        <v>351.10035428641783</v>
      </c>
      <c r="AB407" s="105">
        <f t="shared" si="156"/>
        <v>351.10035428641783</v>
      </c>
      <c r="AC407" s="105">
        <f t="shared" si="156"/>
        <v>351.10035428641783</v>
      </c>
      <c r="AD407" s="105">
        <f t="shared" si="156"/>
        <v>351.10035428641783</v>
      </c>
    </row>
    <row r="408" spans="1:30" s="104" customFormat="1" outlineLevel="1">
      <c r="A408" s="104" t="str">
        <f>A404</f>
        <v>3. Other Capex incl ongoing capex</v>
      </c>
      <c r="B408" s="104" t="str">
        <f>B404</f>
        <v>A$ millions NOMINAL</v>
      </c>
      <c r="C408" s="105">
        <f>SUM(D408:AD408)</f>
        <v>1525.3279239500839</v>
      </c>
      <c r="D408" s="105">
        <f t="shared" ref="D408:AD408" si="157">D404</f>
        <v>116.1443067911639</v>
      </c>
      <c r="E408" s="105">
        <f t="shared" si="157"/>
        <v>283.29111352105633</v>
      </c>
      <c r="F408" s="105">
        <f t="shared" si="157"/>
        <v>97.59389162295426</v>
      </c>
      <c r="G408" s="105">
        <f t="shared" si="157"/>
        <v>59.890370339884775</v>
      </c>
      <c r="H408" s="105">
        <f t="shared" si="157"/>
        <v>61.088177746682476</v>
      </c>
      <c r="I408" s="105">
        <f t="shared" si="157"/>
        <v>90.186615112289047</v>
      </c>
      <c r="J408" s="105">
        <f t="shared" si="157"/>
        <v>63.55614012764844</v>
      </c>
      <c r="K408" s="105">
        <f t="shared" si="157"/>
        <v>64.827262930201414</v>
      </c>
      <c r="L408" s="105">
        <f t="shared" si="157"/>
        <v>66.123808188805441</v>
      </c>
      <c r="M408" s="105">
        <f t="shared" si="157"/>
        <v>91.585970949783245</v>
      </c>
      <c r="N408" s="105">
        <f t="shared" si="157"/>
        <v>68.79521003963319</v>
      </c>
      <c r="O408" s="105">
        <f t="shared" si="157"/>
        <v>70.171114240425851</v>
      </c>
      <c r="P408" s="105">
        <f t="shared" si="157"/>
        <v>71.574536525234365</v>
      </c>
      <c r="Q408" s="105">
        <f t="shared" si="157"/>
        <v>92.603207084588107</v>
      </c>
      <c r="R408" s="105">
        <f t="shared" si="157"/>
        <v>74.466147800853832</v>
      </c>
      <c r="S408" s="105">
        <f t="shared" si="157"/>
        <v>75.955470756870923</v>
      </c>
      <c r="T408" s="105">
        <f t="shared" si="157"/>
        <v>77.474580172008345</v>
      </c>
      <c r="U408" s="105">
        <f t="shared" si="157"/>
        <v>0</v>
      </c>
      <c r="V408" s="105">
        <f t="shared" si="157"/>
        <v>0</v>
      </c>
      <c r="W408" s="105">
        <f t="shared" si="157"/>
        <v>0</v>
      </c>
      <c r="X408" s="105">
        <f t="shared" si="157"/>
        <v>0</v>
      </c>
      <c r="Y408" s="105">
        <f t="shared" si="157"/>
        <v>0</v>
      </c>
      <c r="Z408" s="105">
        <f t="shared" si="157"/>
        <v>0</v>
      </c>
      <c r="AA408" s="105">
        <f t="shared" si="157"/>
        <v>0</v>
      </c>
      <c r="AB408" s="105">
        <f t="shared" si="157"/>
        <v>0</v>
      </c>
      <c r="AC408" s="105">
        <f t="shared" si="157"/>
        <v>0</v>
      </c>
      <c r="AD408" s="105">
        <f t="shared" si="157"/>
        <v>0</v>
      </c>
    </row>
    <row r="409" spans="1:30" s="104" customFormat="1" outlineLevel="1">
      <c r="A409" s="104" t="s">
        <v>168</v>
      </c>
      <c r="B409" s="104" t="s">
        <v>290</v>
      </c>
      <c r="C409" s="105"/>
      <c r="D409" s="106">
        <f t="shared" ref="D409:AD409" si="158">D407+D408</f>
        <v>129.1443067911639</v>
      </c>
      <c r="E409" s="106">
        <f t="shared" si="158"/>
        <v>412.43542031222023</v>
      </c>
      <c r="F409" s="106">
        <f t="shared" si="158"/>
        <v>510.02931193517452</v>
      </c>
      <c r="G409" s="106">
        <f t="shared" si="158"/>
        <v>478.11440612672789</v>
      </c>
      <c r="H409" s="106">
        <f t="shared" si="158"/>
        <v>453.14199077059936</v>
      </c>
      <c r="I409" s="106">
        <f t="shared" si="158"/>
        <v>461.76304754418049</v>
      </c>
      <c r="J409" s="106">
        <f t="shared" si="158"/>
        <v>442.20183911387647</v>
      </c>
      <c r="K409" s="106">
        <f t="shared" si="158"/>
        <v>427.43277100358011</v>
      </c>
      <c r="L409" s="106">
        <f t="shared" si="158"/>
        <v>416.61868041174114</v>
      </c>
      <c r="M409" s="106">
        <f t="shared" si="158"/>
        <v>433.21328888741095</v>
      </c>
      <c r="N409" s="106">
        <f t="shared" si="158"/>
        <v>424.03010692731016</v>
      </c>
      <c r="O409" s="106">
        <f t="shared" si="158"/>
        <v>417.87580192082021</v>
      </c>
      <c r="P409" s="106">
        <f t="shared" si="158"/>
        <v>414.2326941003069</v>
      </c>
      <c r="Q409" s="106">
        <f t="shared" si="158"/>
        <v>432.27401624683978</v>
      </c>
      <c r="R409" s="106">
        <f t="shared" si="158"/>
        <v>428.93084112326244</v>
      </c>
      <c r="S409" s="106">
        <f t="shared" si="158"/>
        <v>427.67876047794613</v>
      </c>
      <c r="T409" s="106">
        <f t="shared" si="158"/>
        <v>428.1711637639242</v>
      </c>
      <c r="U409" s="106">
        <f t="shared" si="158"/>
        <v>351.10035428641783</v>
      </c>
      <c r="V409" s="106">
        <f t="shared" si="158"/>
        <v>351.10035428641783</v>
      </c>
      <c r="W409" s="106">
        <f t="shared" si="158"/>
        <v>351.10035428641783</v>
      </c>
      <c r="X409" s="106">
        <f t="shared" si="158"/>
        <v>351.10035428641783</v>
      </c>
      <c r="Y409" s="106">
        <f t="shared" si="158"/>
        <v>351.10035428641783</v>
      </c>
      <c r="Z409" s="106">
        <f t="shared" si="158"/>
        <v>351.10035428641783</v>
      </c>
      <c r="AA409" s="106">
        <f t="shared" si="158"/>
        <v>351.10035428641783</v>
      </c>
      <c r="AB409" s="106">
        <f t="shared" si="158"/>
        <v>351.10035428641783</v>
      </c>
      <c r="AC409" s="106">
        <f t="shared" si="158"/>
        <v>351.10035428641783</v>
      </c>
      <c r="AD409" s="106">
        <f t="shared" si="158"/>
        <v>351.10035428641783</v>
      </c>
    </row>
    <row r="410" spans="1:30" s="104" customFormat="1" ht="12.65" customHeight="1" outlineLevel="1">
      <c r="A410" s="104" t="s">
        <v>450</v>
      </c>
      <c r="B410" s="104" t="s">
        <v>290</v>
      </c>
      <c r="C410" s="105">
        <f>SUM(D410:AD410)</f>
        <v>1187.2275696636664</v>
      </c>
      <c r="D410" s="105">
        <f t="shared" ref="D410:AD410" si="159">IF(D154=0,0,D409*$C405)</f>
        <v>0</v>
      </c>
      <c r="E410" s="105">
        <f t="shared" si="159"/>
        <v>0</v>
      </c>
      <c r="F410" s="105">
        <f t="shared" si="159"/>
        <v>91.805276148331416</v>
      </c>
      <c r="G410" s="105">
        <f t="shared" si="159"/>
        <v>86.060593102811012</v>
      </c>
      <c r="H410" s="105">
        <f t="shared" si="159"/>
        <v>81.565558338707888</v>
      </c>
      <c r="I410" s="105">
        <f t="shared" si="159"/>
        <v>83.117348557952482</v>
      </c>
      <c r="J410" s="105">
        <f t="shared" si="159"/>
        <v>79.596331040497759</v>
      </c>
      <c r="K410" s="105">
        <f t="shared" si="159"/>
        <v>76.937898780644417</v>
      </c>
      <c r="L410" s="105">
        <f t="shared" si="159"/>
        <v>74.991362474113402</v>
      </c>
      <c r="M410" s="105">
        <f t="shared" si="159"/>
        <v>77.978391999733972</v>
      </c>
      <c r="N410" s="105">
        <f t="shared" si="159"/>
        <v>76.325419246915828</v>
      </c>
      <c r="O410" s="105">
        <f t="shared" si="159"/>
        <v>75.21764434574763</v>
      </c>
      <c r="P410" s="105">
        <f t="shared" si="159"/>
        <v>74.561884938055243</v>
      </c>
      <c r="Q410" s="105">
        <f t="shared" si="159"/>
        <v>77.809322924431157</v>
      </c>
      <c r="R410" s="105">
        <f t="shared" si="159"/>
        <v>77.207551402187235</v>
      </c>
      <c r="S410" s="105">
        <f t="shared" si="159"/>
        <v>76.982176886030302</v>
      </c>
      <c r="T410" s="105">
        <f t="shared" si="159"/>
        <v>77.070809477506359</v>
      </c>
      <c r="U410" s="105">
        <f t="shared" si="159"/>
        <v>0</v>
      </c>
      <c r="V410" s="105">
        <f t="shared" si="159"/>
        <v>0</v>
      </c>
      <c r="W410" s="105">
        <f t="shared" si="159"/>
        <v>0</v>
      </c>
      <c r="X410" s="105">
        <f t="shared" si="159"/>
        <v>0</v>
      </c>
      <c r="Y410" s="105">
        <f t="shared" si="159"/>
        <v>0</v>
      </c>
      <c r="Z410" s="105">
        <f t="shared" si="159"/>
        <v>0</v>
      </c>
      <c r="AA410" s="105">
        <f t="shared" si="159"/>
        <v>0</v>
      </c>
      <c r="AB410" s="105">
        <f t="shared" si="159"/>
        <v>0</v>
      </c>
      <c r="AC410" s="105">
        <f t="shared" si="159"/>
        <v>0</v>
      </c>
      <c r="AD410" s="105">
        <f t="shared" si="159"/>
        <v>0</v>
      </c>
    </row>
    <row r="411" spans="1:30" s="104" customFormat="1" ht="12.65" customHeight="1" outlineLevel="1">
      <c r="A411" s="104" t="s">
        <v>449</v>
      </c>
      <c r="B411" s="104" t="s">
        <v>290</v>
      </c>
      <c r="C411" s="105">
        <f>SUM(D411:AD411)</f>
        <v>1538.3279239500841</v>
      </c>
      <c r="D411" s="105">
        <f t="shared" ref="D411:AD411" si="160">IF(AND(D154&gt;0,E154=0),D409,D410)</f>
        <v>0</v>
      </c>
      <c r="E411" s="105">
        <f t="shared" si="160"/>
        <v>0</v>
      </c>
      <c r="F411" s="105">
        <f t="shared" si="160"/>
        <v>91.805276148331416</v>
      </c>
      <c r="G411" s="105">
        <f t="shared" si="160"/>
        <v>86.060593102811012</v>
      </c>
      <c r="H411" s="105">
        <f t="shared" si="160"/>
        <v>81.565558338707888</v>
      </c>
      <c r="I411" s="105">
        <f t="shared" si="160"/>
        <v>83.117348557952482</v>
      </c>
      <c r="J411" s="105">
        <f t="shared" si="160"/>
        <v>79.596331040497759</v>
      </c>
      <c r="K411" s="105">
        <f t="shared" si="160"/>
        <v>76.937898780644417</v>
      </c>
      <c r="L411" s="105">
        <f t="shared" si="160"/>
        <v>74.991362474113402</v>
      </c>
      <c r="M411" s="105">
        <f t="shared" si="160"/>
        <v>77.978391999733972</v>
      </c>
      <c r="N411" s="105">
        <f t="shared" si="160"/>
        <v>76.325419246915828</v>
      </c>
      <c r="O411" s="105">
        <f t="shared" si="160"/>
        <v>75.21764434574763</v>
      </c>
      <c r="P411" s="105">
        <f t="shared" si="160"/>
        <v>74.561884938055243</v>
      </c>
      <c r="Q411" s="105">
        <f t="shared" si="160"/>
        <v>77.809322924431157</v>
      </c>
      <c r="R411" s="105">
        <f t="shared" si="160"/>
        <v>77.207551402187235</v>
      </c>
      <c r="S411" s="105">
        <f t="shared" si="160"/>
        <v>76.982176886030302</v>
      </c>
      <c r="T411" s="105">
        <f t="shared" si="160"/>
        <v>428.1711637639242</v>
      </c>
      <c r="U411" s="105">
        <f t="shared" si="160"/>
        <v>0</v>
      </c>
      <c r="V411" s="105">
        <f t="shared" si="160"/>
        <v>0</v>
      </c>
      <c r="W411" s="105">
        <f t="shared" si="160"/>
        <v>0</v>
      </c>
      <c r="X411" s="105">
        <f t="shared" si="160"/>
        <v>0</v>
      </c>
      <c r="Y411" s="105">
        <f t="shared" si="160"/>
        <v>0</v>
      </c>
      <c r="Z411" s="105">
        <f t="shared" si="160"/>
        <v>0</v>
      </c>
      <c r="AA411" s="105">
        <f t="shared" si="160"/>
        <v>0</v>
      </c>
      <c r="AB411" s="105">
        <f t="shared" si="160"/>
        <v>0</v>
      </c>
      <c r="AC411" s="105">
        <f t="shared" si="160"/>
        <v>0</v>
      </c>
      <c r="AD411" s="105">
        <f t="shared" si="160"/>
        <v>0</v>
      </c>
    </row>
    <row r="412" spans="1:30" outlineLevel="1">
      <c r="A412" s="143" t="s">
        <v>444</v>
      </c>
      <c r="C412" s="42" t="str">
        <f>IF(C404+D407=C411,"OK","CHECK!")</f>
        <v>OK</v>
      </c>
      <c r="D412" s="42"/>
      <c r="E412" s="42"/>
      <c r="F412" s="42"/>
      <c r="G412" s="42"/>
      <c r="H412" s="42"/>
      <c r="I412" s="42"/>
      <c r="J412" s="42"/>
      <c r="K412" s="42"/>
      <c r="L412" s="42"/>
      <c r="M412" s="42"/>
      <c r="N412" s="42"/>
      <c r="O412" s="42"/>
      <c r="P412" s="42"/>
      <c r="Q412" s="42"/>
      <c r="R412" s="42"/>
      <c r="S412" s="42"/>
      <c r="T412" s="42"/>
      <c r="U412" s="42"/>
      <c r="V412" s="42"/>
      <c r="W412" s="42"/>
      <c r="X412" s="42"/>
      <c r="Y412" s="42"/>
      <c r="Z412" s="42"/>
      <c r="AA412" s="42"/>
      <c r="AB412" s="42"/>
      <c r="AC412" s="42"/>
      <c r="AD412" s="42"/>
    </row>
    <row r="413" spans="1:30" outlineLevel="1">
      <c r="A413" s="49" t="s">
        <v>469</v>
      </c>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c r="AA413" s="42"/>
      <c r="AB413" s="42"/>
      <c r="AC413" s="42"/>
      <c r="AD413" s="42"/>
    </row>
    <row r="414" spans="1:30" s="104" customFormat="1" ht="12.65" customHeight="1" outlineLevel="1">
      <c r="A414" s="104" t="s">
        <v>583</v>
      </c>
      <c r="B414" s="104" t="s">
        <v>290</v>
      </c>
      <c r="C414" s="105">
        <f>SUM(D414:AD414)</f>
        <v>2534.9293391920714</v>
      </c>
      <c r="D414" s="105">
        <f t="shared" ref="D414:AD414" si="161">D378+D392+D411</f>
        <v>10.099504938362077</v>
      </c>
      <c r="E414" s="105">
        <f t="shared" si="161"/>
        <v>30.90448511138796</v>
      </c>
      <c r="F414" s="105">
        <f t="shared" si="161"/>
        <v>435.82034921753677</v>
      </c>
      <c r="G414" s="105">
        <f t="shared" si="161"/>
        <v>306.23023986710245</v>
      </c>
      <c r="H414" s="105">
        <f t="shared" si="161"/>
        <v>222.4741322678544</v>
      </c>
      <c r="I414" s="105">
        <f t="shared" si="161"/>
        <v>173.29883587260628</v>
      </c>
      <c r="J414" s="105">
        <f t="shared" si="161"/>
        <v>137.31248292187618</v>
      </c>
      <c r="K414" s="105">
        <f t="shared" si="161"/>
        <v>113.87623598472661</v>
      </c>
      <c r="L414" s="105">
        <f t="shared" si="161"/>
        <v>98.631898284726006</v>
      </c>
      <c r="M414" s="105">
        <f t="shared" si="161"/>
        <v>93.10833491852604</v>
      </c>
      <c r="N414" s="105">
        <f t="shared" si="161"/>
        <v>86.008582714942747</v>
      </c>
      <c r="O414" s="105">
        <f t="shared" si="161"/>
        <v>81.414868965284867</v>
      </c>
      <c r="P414" s="105">
        <f t="shared" si="161"/>
        <v>78.528108694559066</v>
      </c>
      <c r="Q414" s="105">
        <f t="shared" si="161"/>
        <v>80.347706128593614</v>
      </c>
      <c r="R414" s="105">
        <f t="shared" si="161"/>
        <v>78.832116652851198</v>
      </c>
      <c r="S414" s="105">
        <f t="shared" si="161"/>
        <v>78.021898646455242</v>
      </c>
      <c r="T414" s="105">
        <f t="shared" si="161"/>
        <v>430.01955800467965</v>
      </c>
      <c r="U414" s="105">
        <f t="shared" si="161"/>
        <v>0</v>
      </c>
      <c r="V414" s="105">
        <f t="shared" si="161"/>
        <v>0</v>
      </c>
      <c r="W414" s="105">
        <f t="shared" si="161"/>
        <v>0</v>
      </c>
      <c r="X414" s="105">
        <f t="shared" si="161"/>
        <v>0</v>
      </c>
      <c r="Y414" s="105">
        <f t="shared" si="161"/>
        <v>0</v>
      </c>
      <c r="Z414" s="105">
        <f t="shared" si="161"/>
        <v>0</v>
      </c>
      <c r="AA414" s="105">
        <f t="shared" si="161"/>
        <v>0</v>
      </c>
      <c r="AB414" s="105">
        <f t="shared" si="161"/>
        <v>0</v>
      </c>
      <c r="AC414" s="105">
        <f t="shared" si="161"/>
        <v>0</v>
      </c>
      <c r="AD414" s="105">
        <f t="shared" si="161"/>
        <v>0</v>
      </c>
    </row>
    <row r="415" spans="1:30" outlineLevel="1">
      <c r="A415" s="50" t="s">
        <v>468</v>
      </c>
      <c r="C415" s="42"/>
      <c r="D415" s="42"/>
      <c r="E415" s="42"/>
      <c r="F415" s="42"/>
      <c r="G415" s="42"/>
      <c r="H415" s="42"/>
      <c r="I415" s="42"/>
      <c r="J415" s="42"/>
      <c r="K415" s="42"/>
      <c r="L415" s="42"/>
      <c r="M415" s="42"/>
      <c r="N415" s="42"/>
      <c r="O415" s="42"/>
      <c r="P415" s="42"/>
      <c r="Q415" s="42"/>
      <c r="R415" s="42"/>
      <c r="S415" s="42"/>
      <c r="T415" s="42"/>
      <c r="U415" s="42"/>
      <c r="V415" s="42"/>
      <c r="W415" s="42"/>
      <c r="X415" s="42"/>
      <c r="Y415" s="42"/>
      <c r="Z415" s="42"/>
      <c r="AA415" s="42"/>
      <c r="AB415" s="42"/>
      <c r="AC415" s="42"/>
      <c r="AD415" s="42"/>
    </row>
    <row r="416" spans="1:30" s="14" customFormat="1" ht="15.5" outlineLevel="1">
      <c r="A416" s="281" t="s">
        <v>584</v>
      </c>
      <c r="B416" s="13" t="s">
        <v>292</v>
      </c>
      <c r="C416" s="280">
        <f>SUM(D416:AD416)</f>
        <v>2163.0176669407451</v>
      </c>
      <c r="D416" s="279">
        <f t="shared" ref="D416:AD416" si="162">D414/D373</f>
        <v>10</v>
      </c>
      <c r="E416" s="279">
        <f t="shared" si="162"/>
        <v>30</v>
      </c>
      <c r="F416" s="279">
        <f t="shared" si="162"/>
        <v>414.7697500547676</v>
      </c>
      <c r="G416" s="279">
        <f t="shared" si="162"/>
        <v>285.72449471693494</v>
      </c>
      <c r="H416" s="279">
        <f t="shared" si="162"/>
        <v>203.50671717004758</v>
      </c>
      <c r="I416" s="279">
        <f t="shared" si="162"/>
        <v>155.41563266261764</v>
      </c>
      <c r="J416" s="279">
        <f t="shared" si="162"/>
        <v>120.72824954856712</v>
      </c>
      <c r="K416" s="279">
        <f t="shared" si="162"/>
        <v>98.159382013056899</v>
      </c>
      <c r="L416" s="279">
        <f t="shared" si="162"/>
        <v>83.351982094152561</v>
      </c>
      <c r="M416" s="279">
        <f t="shared" si="162"/>
        <v>77.141295553786733</v>
      </c>
      <c r="N416" s="279">
        <f t="shared" si="162"/>
        <v>69.861834847835397</v>
      </c>
      <c r="O416" s="279">
        <f t="shared" si="162"/>
        <v>64.833841204122649</v>
      </c>
      <c r="P416" s="279">
        <f t="shared" si="162"/>
        <v>61.30882471456691</v>
      </c>
      <c r="Q416" s="279">
        <f t="shared" si="162"/>
        <v>61.499440350835727</v>
      </c>
      <c r="R416" s="279">
        <f t="shared" si="162"/>
        <v>59.156258362418143</v>
      </c>
      <c r="S416" s="279">
        <f t="shared" si="162"/>
        <v>57.400259032290002</v>
      </c>
      <c r="T416" s="279">
        <f t="shared" si="162"/>
        <v>310.15970461474518</v>
      </c>
      <c r="U416" s="279">
        <f t="shared" si="162"/>
        <v>0</v>
      </c>
      <c r="V416" s="279">
        <f t="shared" si="162"/>
        <v>0</v>
      </c>
      <c r="W416" s="279">
        <f t="shared" si="162"/>
        <v>0</v>
      </c>
      <c r="X416" s="279">
        <f t="shared" si="162"/>
        <v>0</v>
      </c>
      <c r="Y416" s="279">
        <f t="shared" si="162"/>
        <v>0</v>
      </c>
      <c r="Z416" s="279">
        <f t="shared" si="162"/>
        <v>0</v>
      </c>
      <c r="AA416" s="279">
        <f t="shared" si="162"/>
        <v>0</v>
      </c>
      <c r="AB416" s="279">
        <f t="shared" si="162"/>
        <v>0</v>
      </c>
      <c r="AC416" s="279">
        <f t="shared" si="162"/>
        <v>0</v>
      </c>
      <c r="AD416" s="279">
        <f t="shared" si="162"/>
        <v>0</v>
      </c>
    </row>
    <row r="417" spans="1:30" s="14" customFormat="1" outlineLevel="1">
      <c r="B417" s="13"/>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c r="AA417" s="44"/>
      <c r="AB417" s="44"/>
      <c r="AC417" s="44"/>
      <c r="AD417" s="44"/>
    </row>
    <row r="418" spans="1:30" s="104" customFormat="1" ht="12.65" customHeight="1" outlineLevel="1">
      <c r="A418" s="49" t="s">
        <v>470</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row>
    <row r="419" spans="1:30" outlineLevel="1">
      <c r="A419" s="13" t="s">
        <v>461</v>
      </c>
      <c r="B419" s="13" t="str">
        <f>B356</f>
        <v>A$ million Real</v>
      </c>
      <c r="C419" s="42">
        <f>SUM(D419:AD419)</f>
        <v>2295.2000000000016</v>
      </c>
      <c r="D419" s="42">
        <f>D376+D384+D402</f>
        <v>425</v>
      </c>
      <c r="E419" s="42">
        <f t="shared" ref="E419:AD419" si="163">E376+E384+E402</f>
        <v>905</v>
      </c>
      <c r="F419" s="42">
        <f t="shared" si="163"/>
        <v>122.88</v>
      </c>
      <c r="G419" s="42">
        <f t="shared" si="163"/>
        <v>55.88</v>
      </c>
      <c r="H419" s="42">
        <f t="shared" si="163"/>
        <v>55.88</v>
      </c>
      <c r="I419" s="42">
        <f t="shared" si="163"/>
        <v>80.88</v>
      </c>
      <c r="J419" s="42">
        <f t="shared" si="163"/>
        <v>55.88</v>
      </c>
      <c r="K419" s="42">
        <f t="shared" si="163"/>
        <v>55.88</v>
      </c>
      <c r="L419" s="42">
        <f t="shared" si="163"/>
        <v>55.88</v>
      </c>
      <c r="M419" s="42">
        <f t="shared" si="163"/>
        <v>75.88</v>
      </c>
      <c r="N419" s="42">
        <f t="shared" si="163"/>
        <v>55.88</v>
      </c>
      <c r="O419" s="42">
        <f t="shared" si="163"/>
        <v>55.88</v>
      </c>
      <c r="P419" s="42">
        <f t="shared" si="163"/>
        <v>55.88</v>
      </c>
      <c r="Q419" s="42">
        <f t="shared" si="163"/>
        <v>70.88</v>
      </c>
      <c r="R419" s="42">
        <f t="shared" si="163"/>
        <v>55.88</v>
      </c>
      <c r="S419" s="42">
        <f t="shared" si="163"/>
        <v>55.88</v>
      </c>
      <c r="T419" s="42">
        <f t="shared" si="163"/>
        <v>55.88</v>
      </c>
      <c r="U419" s="42">
        <f t="shared" si="163"/>
        <v>0</v>
      </c>
      <c r="V419" s="42">
        <f t="shared" si="163"/>
        <v>0</v>
      </c>
      <c r="W419" s="42">
        <f t="shared" si="163"/>
        <v>0</v>
      </c>
      <c r="X419" s="42">
        <f t="shared" si="163"/>
        <v>0</v>
      </c>
      <c r="Y419" s="42">
        <f t="shared" si="163"/>
        <v>0</v>
      </c>
      <c r="Z419" s="42">
        <f t="shared" si="163"/>
        <v>0</v>
      </c>
      <c r="AA419" s="42">
        <f t="shared" si="163"/>
        <v>0</v>
      </c>
      <c r="AB419" s="42">
        <f t="shared" si="163"/>
        <v>0</v>
      </c>
      <c r="AC419" s="42">
        <f t="shared" si="163"/>
        <v>0</v>
      </c>
      <c r="AD419" s="42">
        <f t="shared" si="163"/>
        <v>0</v>
      </c>
    </row>
    <row r="420" spans="1:30" ht="13.5" outlineLevel="1" thickBot="1">
      <c r="A420" s="143" t="s">
        <v>463</v>
      </c>
      <c r="C420" s="44" t="str">
        <f>IF(C356=C419,"OK","CHECK!")</f>
        <v>OK</v>
      </c>
      <c r="D420" s="42"/>
      <c r="E420" s="42"/>
      <c r="F420" s="42"/>
      <c r="G420" s="42"/>
      <c r="H420" s="42"/>
      <c r="I420" s="42"/>
      <c r="J420" s="42"/>
      <c r="K420" s="42"/>
      <c r="L420" s="42"/>
      <c r="M420" s="42"/>
      <c r="N420" s="42"/>
      <c r="O420" s="42"/>
      <c r="P420" s="42"/>
      <c r="Q420" s="42"/>
      <c r="R420" s="42"/>
      <c r="S420" s="42"/>
      <c r="T420" s="42"/>
      <c r="U420" s="42"/>
      <c r="V420" s="42"/>
      <c r="W420" s="42"/>
      <c r="X420" s="42"/>
      <c r="Y420" s="42"/>
      <c r="Z420" s="42"/>
      <c r="AA420" s="42"/>
      <c r="AB420" s="42"/>
      <c r="AC420" s="42"/>
      <c r="AD420" s="42"/>
    </row>
    <row r="421" spans="1:30" ht="13.5" outlineLevel="1" thickBot="1">
      <c r="A421" s="13" t="s">
        <v>462</v>
      </c>
      <c r="B421" s="13" t="s">
        <v>446</v>
      </c>
      <c r="C421" s="42">
        <f t="shared" ref="C421" si="164">C413</f>
        <v>0</v>
      </c>
      <c r="D421" s="166">
        <f>D388+D407</f>
        <v>16</v>
      </c>
      <c r="E421" s="42"/>
      <c r="F421" s="42"/>
      <c r="G421" s="42"/>
      <c r="H421" s="42"/>
      <c r="I421" s="42"/>
      <c r="J421" s="42"/>
      <c r="K421" s="42"/>
      <c r="L421" s="42"/>
      <c r="M421" s="42"/>
      <c r="N421" s="42"/>
      <c r="O421" s="42"/>
      <c r="P421" s="42"/>
      <c r="Q421" s="42"/>
      <c r="R421" s="42"/>
      <c r="S421" s="42"/>
      <c r="T421" s="42"/>
      <c r="U421" s="42"/>
      <c r="V421" s="42"/>
      <c r="W421" s="42"/>
      <c r="X421" s="42"/>
      <c r="Y421" s="42"/>
      <c r="Z421" s="42"/>
      <c r="AA421" s="42"/>
      <c r="AB421" s="42"/>
      <c r="AC421" s="42"/>
      <c r="AD421" s="42"/>
    </row>
    <row r="422" spans="1:30" outlineLevel="1">
      <c r="A422" s="13" t="s">
        <v>460</v>
      </c>
      <c r="B422" s="13" t="s">
        <v>285</v>
      </c>
      <c r="C422" s="42">
        <f>SUM(D422:AD422)</f>
        <v>2311.2000000000016</v>
      </c>
      <c r="D422" s="42">
        <f>D419+D421</f>
        <v>441</v>
      </c>
      <c r="E422" s="70">
        <f t="shared" ref="E422:AD422" si="165">E419+E421</f>
        <v>905</v>
      </c>
      <c r="F422" s="70">
        <f t="shared" si="165"/>
        <v>122.88</v>
      </c>
      <c r="G422" s="70">
        <f t="shared" si="165"/>
        <v>55.88</v>
      </c>
      <c r="H422" s="70">
        <f t="shared" si="165"/>
        <v>55.88</v>
      </c>
      <c r="I422" s="70">
        <f t="shared" si="165"/>
        <v>80.88</v>
      </c>
      <c r="J422" s="70">
        <f t="shared" si="165"/>
        <v>55.88</v>
      </c>
      <c r="K422" s="70">
        <f t="shared" si="165"/>
        <v>55.88</v>
      </c>
      <c r="L422" s="70">
        <f t="shared" si="165"/>
        <v>55.88</v>
      </c>
      <c r="M422" s="70">
        <f t="shared" si="165"/>
        <v>75.88</v>
      </c>
      <c r="N422" s="70">
        <f t="shared" si="165"/>
        <v>55.88</v>
      </c>
      <c r="O422" s="70">
        <f t="shared" si="165"/>
        <v>55.88</v>
      </c>
      <c r="P422" s="70">
        <f t="shared" si="165"/>
        <v>55.88</v>
      </c>
      <c r="Q422" s="70">
        <f t="shared" si="165"/>
        <v>70.88</v>
      </c>
      <c r="R422" s="70">
        <f t="shared" si="165"/>
        <v>55.88</v>
      </c>
      <c r="S422" s="70">
        <f t="shared" si="165"/>
        <v>55.88</v>
      </c>
      <c r="T422" s="70">
        <f t="shared" si="165"/>
        <v>55.88</v>
      </c>
      <c r="U422" s="70">
        <f t="shared" si="165"/>
        <v>0</v>
      </c>
      <c r="V422" s="70">
        <f t="shared" si="165"/>
        <v>0</v>
      </c>
      <c r="W422" s="70">
        <f t="shared" si="165"/>
        <v>0</v>
      </c>
      <c r="X422" s="70">
        <f t="shared" si="165"/>
        <v>0</v>
      </c>
      <c r="Y422" s="70">
        <f t="shared" si="165"/>
        <v>0</v>
      </c>
      <c r="Z422" s="70">
        <f t="shared" si="165"/>
        <v>0</v>
      </c>
      <c r="AA422" s="70">
        <f t="shared" si="165"/>
        <v>0</v>
      </c>
      <c r="AB422" s="70">
        <f t="shared" si="165"/>
        <v>0</v>
      </c>
      <c r="AC422" s="70">
        <f t="shared" si="165"/>
        <v>0</v>
      </c>
      <c r="AD422" s="70">
        <f t="shared" si="165"/>
        <v>0</v>
      </c>
    </row>
    <row r="423" spans="1:30" s="42" customFormat="1" ht="13.75" customHeight="1" outlineLevel="1">
      <c r="A423" s="75" t="s">
        <v>437</v>
      </c>
      <c r="B423" s="148" t="s">
        <v>292</v>
      </c>
      <c r="C423" s="42">
        <f>C422-C416</f>
        <v>148.18233305925651</v>
      </c>
    </row>
    <row r="424" spans="1:30" outlineLevel="1">
      <c r="A424" s="282" t="s">
        <v>585</v>
      </c>
      <c r="D424" s="15"/>
      <c r="E424" s="15"/>
      <c r="F424" s="15"/>
      <c r="G424" s="15"/>
      <c r="H424" s="15"/>
      <c r="I424" s="15"/>
      <c r="J424" s="15"/>
      <c r="K424" s="15"/>
      <c r="L424" s="15"/>
      <c r="M424" s="15"/>
      <c r="N424" s="15"/>
      <c r="O424" s="15"/>
      <c r="P424" s="15"/>
      <c r="Q424" s="15"/>
      <c r="R424" s="15"/>
      <c r="S424" s="15"/>
      <c r="T424" s="15"/>
      <c r="U424" s="15"/>
      <c r="V424" s="15"/>
      <c r="W424" s="15"/>
      <c r="X424" s="15"/>
      <c r="Y424" s="15"/>
      <c r="Z424" s="15"/>
      <c r="AA424" s="15"/>
      <c r="AB424" s="15"/>
      <c r="AC424" s="15"/>
      <c r="AD424" s="15"/>
    </row>
    <row r="425" spans="1:30" outlineLevel="1">
      <c r="C425" s="42"/>
      <c r="D425" s="42"/>
      <c r="E425" s="42"/>
      <c r="F425" s="42"/>
      <c r="G425" s="42"/>
      <c r="H425" s="42"/>
      <c r="I425" s="42"/>
      <c r="J425" s="42"/>
      <c r="K425" s="42"/>
      <c r="L425" s="42"/>
      <c r="M425" s="42"/>
      <c r="N425" s="42"/>
      <c r="O425" s="42"/>
      <c r="P425" s="42"/>
      <c r="Q425" s="42"/>
      <c r="R425" s="42"/>
      <c r="S425" s="42"/>
      <c r="T425" s="42"/>
      <c r="U425" s="42"/>
      <c r="V425" s="42"/>
      <c r="W425" s="42"/>
      <c r="X425" s="42"/>
      <c r="Y425" s="42"/>
      <c r="Z425" s="42"/>
      <c r="AA425" s="42"/>
      <c r="AB425" s="42"/>
      <c r="AC425" s="42"/>
      <c r="AD425" s="42"/>
    </row>
    <row r="426" spans="1:30" s="8" customFormat="1" ht="15.5">
      <c r="A426" s="242" t="str">
        <f>'Expected NPV &amp; Common Data'!A$36</f>
        <v>Calendar Year --&gt;</v>
      </c>
      <c r="B426" s="243" t="str">
        <f>'Expected NPV &amp; Common Data'!B$36</f>
        <v>units</v>
      </c>
      <c r="C426" s="244" t="str">
        <f>'Expected NPV &amp; Common Data'!C$36</f>
        <v>Total</v>
      </c>
      <c r="D426" s="245">
        <f>'Expected NPV &amp; Common Data'!D$36</f>
        <v>2027</v>
      </c>
      <c r="E426" s="245">
        <f>'Expected NPV &amp; Common Data'!E$36</f>
        <v>2028</v>
      </c>
      <c r="F426" s="245">
        <f>'Expected NPV &amp; Common Data'!F$36</f>
        <v>2029</v>
      </c>
      <c r="G426" s="245">
        <f>'Expected NPV &amp; Common Data'!G$36</f>
        <v>2030</v>
      </c>
      <c r="H426" s="245">
        <f>'Expected NPV &amp; Common Data'!H$36</f>
        <v>2031</v>
      </c>
      <c r="I426" s="245">
        <f>'Expected NPV &amp; Common Data'!I$36</f>
        <v>2032</v>
      </c>
      <c r="J426" s="245">
        <f>'Expected NPV &amp; Common Data'!J$36</f>
        <v>2033</v>
      </c>
      <c r="K426" s="245">
        <f>'Expected NPV &amp; Common Data'!K$36</f>
        <v>2034</v>
      </c>
      <c r="L426" s="245">
        <f>'Expected NPV &amp; Common Data'!L$36</f>
        <v>2035</v>
      </c>
      <c r="M426" s="245">
        <f>'Expected NPV &amp; Common Data'!M$36</f>
        <v>2036</v>
      </c>
      <c r="N426" s="245">
        <f>'Expected NPV &amp; Common Data'!N$36</f>
        <v>2037</v>
      </c>
      <c r="O426" s="245">
        <f>'Expected NPV &amp; Common Data'!O$36</f>
        <v>2038</v>
      </c>
      <c r="P426" s="245">
        <f>'Expected NPV &amp; Common Data'!P$36</f>
        <v>2039</v>
      </c>
      <c r="Q426" s="245">
        <f>'Expected NPV &amp; Common Data'!Q$36</f>
        <v>2040</v>
      </c>
      <c r="R426" s="245">
        <f>'Expected NPV &amp; Common Data'!R$36</f>
        <v>2041</v>
      </c>
      <c r="S426" s="245">
        <f>'Expected NPV &amp; Common Data'!S$36</f>
        <v>2042</v>
      </c>
      <c r="T426" s="245">
        <f>'Expected NPV &amp; Common Data'!T$36</f>
        <v>2043</v>
      </c>
      <c r="U426" s="245">
        <f>'Expected NPV &amp; Common Data'!U$36</f>
        <v>2044</v>
      </c>
      <c r="V426" s="245">
        <f>'Expected NPV &amp; Common Data'!V$36</f>
        <v>2045</v>
      </c>
      <c r="W426" s="245">
        <f>'Expected NPV &amp; Common Data'!W$36</f>
        <v>2046</v>
      </c>
      <c r="X426" s="245">
        <f>'Expected NPV &amp; Common Data'!X$36</f>
        <v>2047</v>
      </c>
      <c r="Y426" s="245">
        <f>'Expected NPV &amp; Common Data'!Y$36</f>
        <v>2048</v>
      </c>
      <c r="Z426" s="245">
        <f>'Expected NPV &amp; Common Data'!Z$36</f>
        <v>2049</v>
      </c>
      <c r="AA426" s="245">
        <f>'Expected NPV &amp; Common Data'!AA$36</f>
        <v>2050</v>
      </c>
      <c r="AB426" s="245">
        <f>'Expected NPV &amp; Common Data'!AB$36</f>
        <v>2051</v>
      </c>
      <c r="AC426" s="245">
        <f>'Expected NPV &amp; Common Data'!AC$36</f>
        <v>2052</v>
      </c>
      <c r="AD426" s="245">
        <f>'Expected NPV &amp; Common Data'!AD$36</f>
        <v>2053</v>
      </c>
    </row>
    <row r="427" spans="1:30" s="32" customFormat="1" ht="53.25" customHeight="1">
      <c r="A427" s="21" t="s">
        <v>14</v>
      </c>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row>
    <row r="428" spans="1:30" outlineLevel="1">
      <c r="A428" s="282" t="s">
        <v>586</v>
      </c>
      <c r="D428" s="15"/>
      <c r="E428" s="15"/>
      <c r="F428" s="15"/>
      <c r="G428" s="15"/>
      <c r="H428" s="15"/>
      <c r="I428" s="15"/>
      <c r="J428" s="15"/>
      <c r="K428" s="15"/>
      <c r="L428" s="15"/>
      <c r="M428" s="15"/>
      <c r="N428" s="15"/>
      <c r="O428" s="15"/>
      <c r="P428" s="15"/>
      <c r="Q428" s="15"/>
      <c r="R428" s="15"/>
      <c r="S428" s="15"/>
      <c r="T428" s="15"/>
      <c r="U428" s="15"/>
      <c r="V428" s="15"/>
      <c r="W428" s="15"/>
      <c r="X428" s="15"/>
      <c r="Y428" s="15"/>
      <c r="Z428" s="15"/>
      <c r="AA428" s="15"/>
      <c r="AB428" s="15"/>
      <c r="AC428" s="15"/>
      <c r="AD428" s="15"/>
    </row>
    <row r="429" spans="1:30" ht="43.25" customHeight="1">
      <c r="A429" s="23" t="s">
        <v>29</v>
      </c>
      <c r="D429" s="15"/>
      <c r="E429" s="15"/>
      <c r="F429" s="15"/>
      <c r="G429" s="15"/>
      <c r="H429" s="15"/>
      <c r="I429" s="15"/>
      <c r="J429" s="15"/>
      <c r="K429" s="15"/>
      <c r="L429" s="15"/>
      <c r="M429" s="15"/>
      <c r="N429" s="15"/>
      <c r="O429" s="15"/>
      <c r="P429" s="15"/>
      <c r="Q429" s="15"/>
      <c r="R429" s="15"/>
      <c r="S429" s="15"/>
      <c r="T429" s="15"/>
      <c r="U429" s="15"/>
      <c r="V429" s="15"/>
      <c r="W429" s="15"/>
      <c r="X429" s="15"/>
      <c r="Y429" s="15"/>
      <c r="Z429" s="15"/>
      <c r="AA429" s="15"/>
      <c r="AB429" s="15"/>
      <c r="AC429" s="15"/>
      <c r="AD429" s="15"/>
    </row>
    <row r="430" spans="1:30" s="62" customFormat="1" outlineLevel="1">
      <c r="A430" s="13" t="s">
        <v>557</v>
      </c>
      <c r="B430" s="60"/>
      <c r="C430" s="42"/>
      <c r="D430" s="61"/>
      <c r="E430" s="61"/>
      <c r="F430" s="61"/>
      <c r="G430" s="61"/>
      <c r="H430" s="61"/>
      <c r="I430" s="61"/>
      <c r="J430" s="61"/>
      <c r="K430" s="61"/>
      <c r="L430" s="61"/>
      <c r="M430" s="61"/>
      <c r="N430" s="61"/>
      <c r="O430" s="61"/>
      <c r="P430" s="61"/>
      <c r="Q430" s="61"/>
      <c r="R430" s="61"/>
      <c r="S430" s="61"/>
      <c r="T430" s="61"/>
      <c r="U430" s="61"/>
      <c r="V430" s="61"/>
      <c r="W430" s="61"/>
      <c r="X430" s="61"/>
      <c r="Y430" s="61"/>
      <c r="Z430" s="61"/>
      <c r="AA430" s="61"/>
      <c r="AB430" s="61"/>
      <c r="AC430" s="61"/>
      <c r="AD430" s="61"/>
    </row>
    <row r="431" spans="1:30" s="62" customFormat="1" outlineLevel="1">
      <c r="A431" s="50" t="str">
        <f>A115</f>
        <v>Alpha Pit</v>
      </c>
      <c r="B431" s="60"/>
      <c r="C431" s="42"/>
      <c r="D431" s="61"/>
      <c r="E431" s="61"/>
      <c r="F431" s="61"/>
      <c r="G431" s="61"/>
      <c r="H431" s="61"/>
      <c r="I431" s="61"/>
      <c r="J431" s="61"/>
      <c r="K431" s="61"/>
      <c r="L431" s="61"/>
      <c r="M431" s="61"/>
      <c r="N431" s="61"/>
      <c r="O431" s="61"/>
      <c r="P431" s="61"/>
      <c r="Q431" s="61"/>
      <c r="R431" s="61"/>
      <c r="S431" s="61"/>
      <c r="T431" s="61"/>
      <c r="U431" s="61"/>
      <c r="V431" s="61"/>
      <c r="W431" s="61"/>
      <c r="X431" s="61"/>
      <c r="Y431" s="61"/>
      <c r="Z431" s="61"/>
      <c r="AA431" s="61"/>
      <c r="AB431" s="61"/>
      <c r="AC431" s="61"/>
      <c r="AD431" s="61"/>
    </row>
    <row r="432" spans="1:30" s="45" customFormat="1" outlineLevel="1">
      <c r="A432" s="45" t="str">
        <f>A116</f>
        <v>Waste mined - Alpha Pit</v>
      </c>
      <c r="B432" s="45" t="str">
        <f>B116</f>
        <v>M dry tonnes</v>
      </c>
      <c r="C432" s="42">
        <f>SUM(D432:AD432)</f>
        <v>492</v>
      </c>
      <c r="D432" s="42">
        <f t="shared" ref="D432:AD432" si="166">D116</f>
        <v>0</v>
      </c>
      <c r="E432" s="42">
        <f t="shared" si="166"/>
        <v>37</v>
      </c>
      <c r="F432" s="42">
        <f t="shared" si="166"/>
        <v>37</v>
      </c>
      <c r="G432" s="42">
        <f t="shared" si="166"/>
        <v>35</v>
      </c>
      <c r="H432" s="42">
        <f t="shared" si="166"/>
        <v>60</v>
      </c>
      <c r="I432" s="42">
        <f t="shared" si="166"/>
        <v>60</v>
      </c>
      <c r="J432" s="42">
        <f t="shared" si="166"/>
        <v>48</v>
      </c>
      <c r="K432" s="42">
        <f t="shared" si="166"/>
        <v>38</v>
      </c>
      <c r="L432" s="42">
        <f t="shared" si="166"/>
        <v>38</v>
      </c>
      <c r="M432" s="42">
        <f t="shared" si="166"/>
        <v>38</v>
      </c>
      <c r="N432" s="42">
        <f t="shared" si="166"/>
        <v>38</v>
      </c>
      <c r="O432" s="42">
        <f t="shared" si="166"/>
        <v>38</v>
      </c>
      <c r="P432" s="42">
        <f t="shared" si="166"/>
        <v>25</v>
      </c>
      <c r="Q432" s="42">
        <f t="shared" si="166"/>
        <v>0</v>
      </c>
      <c r="R432" s="42">
        <f t="shared" si="166"/>
        <v>0</v>
      </c>
      <c r="S432" s="42">
        <f t="shared" si="166"/>
        <v>0</v>
      </c>
      <c r="T432" s="42">
        <f t="shared" si="166"/>
        <v>0</v>
      </c>
      <c r="U432" s="42">
        <f t="shared" si="166"/>
        <v>0</v>
      </c>
      <c r="V432" s="42">
        <f t="shared" si="166"/>
        <v>0</v>
      </c>
      <c r="W432" s="42">
        <f t="shared" si="166"/>
        <v>0</v>
      </c>
      <c r="X432" s="42">
        <f t="shared" si="166"/>
        <v>0</v>
      </c>
      <c r="Y432" s="42">
        <f t="shared" si="166"/>
        <v>0</v>
      </c>
      <c r="Z432" s="42">
        <f t="shared" si="166"/>
        <v>0</v>
      </c>
      <c r="AA432" s="42">
        <f t="shared" si="166"/>
        <v>0</v>
      </c>
      <c r="AB432" s="42">
        <f t="shared" si="166"/>
        <v>0</v>
      </c>
      <c r="AC432" s="42">
        <f t="shared" si="166"/>
        <v>0</v>
      </c>
      <c r="AD432" s="42">
        <f t="shared" si="166"/>
        <v>0</v>
      </c>
    </row>
    <row r="433" spans="1:30" outlineLevel="1">
      <c r="A433" s="283" t="s">
        <v>294</v>
      </c>
      <c r="B433" s="13" t="s">
        <v>451</v>
      </c>
      <c r="C433" s="42"/>
      <c r="D433" s="61"/>
      <c r="E433" s="342">
        <v>6</v>
      </c>
      <c r="F433" s="284">
        <f>E433</f>
        <v>6</v>
      </c>
      <c r="G433" s="284">
        <f t="shared" ref="G433:AD433" si="167">F433</f>
        <v>6</v>
      </c>
      <c r="H433" s="284">
        <f t="shared" si="167"/>
        <v>6</v>
      </c>
      <c r="I433" s="284">
        <f t="shared" si="167"/>
        <v>6</v>
      </c>
      <c r="J433" s="284">
        <f t="shared" si="167"/>
        <v>6</v>
      </c>
      <c r="K433" s="284">
        <f t="shared" si="167"/>
        <v>6</v>
      </c>
      <c r="L433" s="284">
        <f t="shared" si="167"/>
        <v>6</v>
      </c>
      <c r="M433" s="284">
        <f t="shared" si="167"/>
        <v>6</v>
      </c>
      <c r="N433" s="284">
        <f t="shared" si="167"/>
        <v>6</v>
      </c>
      <c r="O433" s="284">
        <f t="shared" si="167"/>
        <v>6</v>
      </c>
      <c r="P433" s="284">
        <f t="shared" si="167"/>
        <v>6</v>
      </c>
      <c r="Q433" s="284">
        <f t="shared" si="167"/>
        <v>6</v>
      </c>
      <c r="R433" s="284">
        <f t="shared" si="167"/>
        <v>6</v>
      </c>
      <c r="S433" s="284">
        <f t="shared" si="167"/>
        <v>6</v>
      </c>
      <c r="T433" s="284">
        <f t="shared" si="167"/>
        <v>6</v>
      </c>
      <c r="U433" s="284">
        <f t="shared" si="167"/>
        <v>6</v>
      </c>
      <c r="V433" s="284">
        <f t="shared" si="167"/>
        <v>6</v>
      </c>
      <c r="W433" s="284">
        <f t="shared" si="167"/>
        <v>6</v>
      </c>
      <c r="X433" s="284">
        <f t="shared" si="167"/>
        <v>6</v>
      </c>
      <c r="Y433" s="284">
        <f t="shared" si="167"/>
        <v>6</v>
      </c>
      <c r="Z433" s="284">
        <f t="shared" si="167"/>
        <v>6</v>
      </c>
      <c r="AA433" s="284">
        <f t="shared" si="167"/>
        <v>6</v>
      </c>
      <c r="AB433" s="284">
        <f t="shared" si="167"/>
        <v>6</v>
      </c>
      <c r="AC433" s="284">
        <f t="shared" si="167"/>
        <v>6</v>
      </c>
      <c r="AD433" s="284">
        <f t="shared" si="167"/>
        <v>6</v>
      </c>
    </row>
    <row r="434" spans="1:30" s="45" customFormat="1" outlineLevel="1">
      <c r="A434" s="45" t="s">
        <v>296</v>
      </c>
      <c r="B434" s="45" t="s">
        <v>285</v>
      </c>
      <c r="C434" s="42">
        <f>SUM(D434:AD434)</f>
        <v>2952</v>
      </c>
      <c r="D434" s="42"/>
      <c r="E434" s="42">
        <f t="shared" ref="E434:AD434" si="168">E432*E433</f>
        <v>222</v>
      </c>
      <c r="F434" s="42">
        <f t="shared" si="168"/>
        <v>222</v>
      </c>
      <c r="G434" s="42">
        <f t="shared" si="168"/>
        <v>210</v>
      </c>
      <c r="H434" s="42">
        <f t="shared" si="168"/>
        <v>360</v>
      </c>
      <c r="I434" s="42">
        <f t="shared" si="168"/>
        <v>360</v>
      </c>
      <c r="J434" s="42">
        <f t="shared" si="168"/>
        <v>288</v>
      </c>
      <c r="K434" s="42">
        <f t="shared" si="168"/>
        <v>228</v>
      </c>
      <c r="L434" s="42">
        <f t="shared" si="168"/>
        <v>228</v>
      </c>
      <c r="M434" s="42">
        <f t="shared" si="168"/>
        <v>228</v>
      </c>
      <c r="N434" s="42">
        <f t="shared" si="168"/>
        <v>228</v>
      </c>
      <c r="O434" s="42">
        <f t="shared" si="168"/>
        <v>228</v>
      </c>
      <c r="P434" s="42">
        <f t="shared" si="168"/>
        <v>150</v>
      </c>
      <c r="Q434" s="42">
        <f t="shared" si="168"/>
        <v>0</v>
      </c>
      <c r="R434" s="42">
        <f t="shared" si="168"/>
        <v>0</v>
      </c>
      <c r="S434" s="42">
        <f t="shared" si="168"/>
        <v>0</v>
      </c>
      <c r="T434" s="42">
        <f t="shared" si="168"/>
        <v>0</v>
      </c>
      <c r="U434" s="42">
        <f t="shared" si="168"/>
        <v>0</v>
      </c>
      <c r="V434" s="42">
        <f t="shared" si="168"/>
        <v>0</v>
      </c>
      <c r="W434" s="42">
        <f t="shared" si="168"/>
        <v>0</v>
      </c>
      <c r="X434" s="42">
        <f t="shared" si="168"/>
        <v>0</v>
      </c>
      <c r="Y434" s="42">
        <f t="shared" si="168"/>
        <v>0</v>
      </c>
      <c r="Z434" s="42">
        <f t="shared" si="168"/>
        <v>0</v>
      </c>
      <c r="AA434" s="42">
        <f t="shared" si="168"/>
        <v>0</v>
      </c>
      <c r="AB434" s="42">
        <f t="shared" si="168"/>
        <v>0</v>
      </c>
      <c r="AC434" s="42">
        <f t="shared" si="168"/>
        <v>0</v>
      </c>
      <c r="AD434" s="42">
        <f t="shared" si="168"/>
        <v>0</v>
      </c>
    </row>
    <row r="435" spans="1:30" s="45" customFormat="1" outlineLevel="1">
      <c r="C435" s="42"/>
      <c r="D435" s="42"/>
      <c r="E435" s="42"/>
      <c r="F435" s="42"/>
      <c r="G435" s="42"/>
      <c r="H435" s="42"/>
      <c r="I435" s="42"/>
      <c r="J435" s="42"/>
      <c r="K435" s="42"/>
      <c r="L435" s="42"/>
      <c r="M435" s="42"/>
      <c r="N435" s="42"/>
      <c r="O435" s="42"/>
      <c r="P435" s="42"/>
      <c r="Q435" s="42"/>
      <c r="R435" s="42"/>
      <c r="S435" s="42"/>
      <c r="T435" s="42"/>
      <c r="U435" s="42"/>
      <c r="V435" s="42"/>
      <c r="W435" s="42"/>
      <c r="X435" s="42"/>
      <c r="Y435" s="42"/>
      <c r="Z435" s="42"/>
      <c r="AA435" s="42"/>
      <c r="AB435" s="42"/>
      <c r="AC435" s="42"/>
      <c r="AD435" s="42"/>
    </row>
    <row r="436" spans="1:30" s="45" customFormat="1" outlineLevel="1">
      <c r="A436" s="45" t="str">
        <f>A117</f>
        <v>Ore mined - Alpha Pit</v>
      </c>
      <c r="B436" s="45" t="str">
        <f>B117</f>
        <v>M dry tonnes</v>
      </c>
      <c r="C436" s="42">
        <f>SUM(D436:AD436)</f>
        <v>52</v>
      </c>
      <c r="D436" s="42">
        <f t="shared" ref="D436:AD436" si="169">D117</f>
        <v>0</v>
      </c>
      <c r="E436" s="42">
        <f t="shared" si="169"/>
        <v>0</v>
      </c>
      <c r="F436" s="42">
        <f t="shared" si="169"/>
        <v>5</v>
      </c>
      <c r="G436" s="42">
        <f t="shared" si="169"/>
        <v>7</v>
      </c>
      <c r="H436" s="42">
        <f t="shared" si="169"/>
        <v>7</v>
      </c>
      <c r="I436" s="42">
        <f t="shared" si="169"/>
        <v>7</v>
      </c>
      <c r="J436" s="42">
        <f t="shared" si="169"/>
        <v>7</v>
      </c>
      <c r="K436" s="42">
        <f t="shared" si="169"/>
        <v>4</v>
      </c>
      <c r="L436" s="42">
        <f t="shared" si="169"/>
        <v>3</v>
      </c>
      <c r="M436" s="42">
        <f t="shared" si="169"/>
        <v>3</v>
      </c>
      <c r="N436" s="42">
        <f t="shared" si="169"/>
        <v>3</v>
      </c>
      <c r="O436" s="42">
        <f t="shared" si="169"/>
        <v>3</v>
      </c>
      <c r="P436" s="42">
        <f t="shared" si="169"/>
        <v>3</v>
      </c>
      <c r="Q436" s="42">
        <f t="shared" si="169"/>
        <v>0</v>
      </c>
      <c r="R436" s="42">
        <f t="shared" si="169"/>
        <v>0</v>
      </c>
      <c r="S436" s="42">
        <f t="shared" si="169"/>
        <v>0</v>
      </c>
      <c r="T436" s="42">
        <f t="shared" si="169"/>
        <v>0</v>
      </c>
      <c r="U436" s="42">
        <f t="shared" si="169"/>
        <v>0</v>
      </c>
      <c r="V436" s="42">
        <f t="shared" si="169"/>
        <v>0</v>
      </c>
      <c r="W436" s="42">
        <f t="shared" si="169"/>
        <v>0</v>
      </c>
      <c r="X436" s="42">
        <f t="shared" si="169"/>
        <v>0</v>
      </c>
      <c r="Y436" s="42">
        <f t="shared" si="169"/>
        <v>0</v>
      </c>
      <c r="Z436" s="42">
        <f t="shared" si="169"/>
        <v>0</v>
      </c>
      <c r="AA436" s="42">
        <f t="shared" si="169"/>
        <v>0</v>
      </c>
      <c r="AB436" s="42">
        <f t="shared" si="169"/>
        <v>0</v>
      </c>
      <c r="AC436" s="42">
        <f t="shared" si="169"/>
        <v>0</v>
      </c>
      <c r="AD436" s="42">
        <f t="shared" si="169"/>
        <v>0</v>
      </c>
    </row>
    <row r="437" spans="1:30" outlineLevel="1">
      <c r="A437" s="283" t="s">
        <v>295</v>
      </c>
      <c r="B437" s="13" t="s">
        <v>451</v>
      </c>
      <c r="C437" s="42"/>
      <c r="D437" s="61"/>
      <c r="E437" s="284"/>
      <c r="F437" s="342">
        <v>5</v>
      </c>
      <c r="G437" s="284">
        <v>5</v>
      </c>
      <c r="H437" s="284">
        <v>5</v>
      </c>
      <c r="I437" s="284">
        <v>5</v>
      </c>
      <c r="J437" s="284">
        <v>5</v>
      </c>
      <c r="K437" s="284">
        <v>5</v>
      </c>
      <c r="L437" s="284">
        <v>5</v>
      </c>
      <c r="M437" s="284">
        <v>5</v>
      </c>
      <c r="N437" s="284">
        <v>5</v>
      </c>
      <c r="O437" s="284">
        <v>5</v>
      </c>
      <c r="P437" s="284">
        <v>5</v>
      </c>
      <c r="Q437" s="284">
        <v>5</v>
      </c>
      <c r="R437" s="284">
        <v>5</v>
      </c>
      <c r="S437" s="284">
        <v>5</v>
      </c>
      <c r="T437" s="284">
        <v>5</v>
      </c>
      <c r="U437" s="284">
        <v>5</v>
      </c>
      <c r="V437" s="284">
        <v>5</v>
      </c>
      <c r="W437" s="284">
        <v>5</v>
      </c>
      <c r="X437" s="284">
        <v>5</v>
      </c>
      <c r="Y437" s="284">
        <v>5</v>
      </c>
      <c r="Z437" s="284">
        <v>5</v>
      </c>
      <c r="AA437" s="284">
        <v>5</v>
      </c>
      <c r="AB437" s="284">
        <v>5</v>
      </c>
      <c r="AC437" s="284">
        <v>5</v>
      </c>
      <c r="AD437" s="284">
        <v>5</v>
      </c>
    </row>
    <row r="438" spans="1:30" s="45" customFormat="1" outlineLevel="1">
      <c r="A438" s="45" t="s">
        <v>297</v>
      </c>
      <c r="B438" s="45" t="s">
        <v>285</v>
      </c>
      <c r="C438" s="42">
        <f>SUM(D438:AD438)</f>
        <v>260</v>
      </c>
      <c r="D438" s="42"/>
      <c r="E438" s="42">
        <f t="shared" ref="E438:AD438" si="170">E436*E437</f>
        <v>0</v>
      </c>
      <c r="F438" s="42">
        <f t="shared" si="170"/>
        <v>25</v>
      </c>
      <c r="G438" s="42">
        <f t="shared" si="170"/>
        <v>35</v>
      </c>
      <c r="H438" s="42">
        <f t="shared" si="170"/>
        <v>35</v>
      </c>
      <c r="I438" s="42">
        <f t="shared" si="170"/>
        <v>35</v>
      </c>
      <c r="J438" s="42">
        <f t="shared" si="170"/>
        <v>35</v>
      </c>
      <c r="K438" s="42">
        <f t="shared" si="170"/>
        <v>20</v>
      </c>
      <c r="L438" s="42">
        <f t="shared" si="170"/>
        <v>15</v>
      </c>
      <c r="M438" s="42">
        <f t="shared" si="170"/>
        <v>15</v>
      </c>
      <c r="N438" s="42">
        <f t="shared" si="170"/>
        <v>15</v>
      </c>
      <c r="O438" s="42">
        <f t="shared" si="170"/>
        <v>15</v>
      </c>
      <c r="P438" s="42">
        <f t="shared" si="170"/>
        <v>15</v>
      </c>
      <c r="Q438" s="42">
        <f t="shared" si="170"/>
        <v>0</v>
      </c>
      <c r="R438" s="42">
        <f t="shared" si="170"/>
        <v>0</v>
      </c>
      <c r="S438" s="42">
        <f t="shared" si="170"/>
        <v>0</v>
      </c>
      <c r="T438" s="42">
        <f t="shared" si="170"/>
        <v>0</v>
      </c>
      <c r="U438" s="42">
        <f t="shared" si="170"/>
        <v>0</v>
      </c>
      <c r="V438" s="42">
        <f t="shared" si="170"/>
        <v>0</v>
      </c>
      <c r="W438" s="42">
        <f t="shared" si="170"/>
        <v>0</v>
      </c>
      <c r="X438" s="42">
        <f t="shared" si="170"/>
        <v>0</v>
      </c>
      <c r="Y438" s="42">
        <f t="shared" si="170"/>
        <v>0</v>
      </c>
      <c r="Z438" s="42">
        <f t="shared" si="170"/>
        <v>0</v>
      </c>
      <c r="AA438" s="42">
        <f t="shared" si="170"/>
        <v>0</v>
      </c>
      <c r="AB438" s="42">
        <f t="shared" si="170"/>
        <v>0</v>
      </c>
      <c r="AC438" s="42">
        <f t="shared" si="170"/>
        <v>0</v>
      </c>
      <c r="AD438" s="42">
        <f t="shared" si="170"/>
        <v>0</v>
      </c>
    </row>
    <row r="439" spans="1:30" s="45" customFormat="1" outlineLevel="1">
      <c r="C439" s="42"/>
      <c r="D439" s="42"/>
      <c r="E439" s="42"/>
      <c r="F439" s="42"/>
      <c r="G439" s="42"/>
      <c r="H439" s="42"/>
      <c r="I439" s="42"/>
      <c r="J439" s="42"/>
      <c r="K439" s="42"/>
      <c r="L439" s="42"/>
      <c r="M439" s="42"/>
      <c r="N439" s="42"/>
      <c r="O439" s="42"/>
      <c r="P439" s="42"/>
      <c r="Q439" s="42"/>
      <c r="R439" s="42"/>
      <c r="S439" s="42"/>
      <c r="T439" s="42"/>
      <c r="U439" s="42"/>
      <c r="V439" s="42"/>
      <c r="W439" s="42"/>
      <c r="X439" s="42"/>
      <c r="Y439" s="42"/>
      <c r="Z439" s="42"/>
      <c r="AA439" s="42"/>
      <c r="AB439" s="42"/>
      <c r="AC439" s="42"/>
      <c r="AD439" s="42"/>
    </row>
    <row r="440" spans="1:30" s="45" customFormat="1" outlineLevel="1">
      <c r="A440" s="45" t="s">
        <v>298</v>
      </c>
      <c r="B440" s="45" t="s">
        <v>285</v>
      </c>
      <c r="C440" s="42">
        <f>SUM(D440:AD440)</f>
        <v>3212</v>
      </c>
      <c r="D440" s="70">
        <f t="shared" ref="D440:AD440" si="171">D434+D438</f>
        <v>0</v>
      </c>
      <c r="E440" s="70">
        <f t="shared" si="171"/>
        <v>222</v>
      </c>
      <c r="F440" s="70">
        <f t="shared" si="171"/>
        <v>247</v>
      </c>
      <c r="G440" s="70">
        <f t="shared" si="171"/>
        <v>245</v>
      </c>
      <c r="H440" s="70">
        <f t="shared" si="171"/>
        <v>395</v>
      </c>
      <c r="I440" s="70">
        <f t="shared" si="171"/>
        <v>395</v>
      </c>
      <c r="J440" s="70">
        <f t="shared" si="171"/>
        <v>323</v>
      </c>
      <c r="K440" s="70">
        <f t="shared" si="171"/>
        <v>248</v>
      </c>
      <c r="L440" s="70">
        <f t="shared" si="171"/>
        <v>243</v>
      </c>
      <c r="M440" s="70">
        <f t="shared" si="171"/>
        <v>243</v>
      </c>
      <c r="N440" s="70">
        <f t="shared" si="171"/>
        <v>243</v>
      </c>
      <c r="O440" s="70">
        <f t="shared" si="171"/>
        <v>243</v>
      </c>
      <c r="P440" s="70">
        <f t="shared" si="171"/>
        <v>165</v>
      </c>
      <c r="Q440" s="70">
        <f t="shared" si="171"/>
        <v>0</v>
      </c>
      <c r="R440" s="70">
        <f t="shared" si="171"/>
        <v>0</v>
      </c>
      <c r="S440" s="70">
        <f t="shared" si="171"/>
        <v>0</v>
      </c>
      <c r="T440" s="70">
        <f t="shared" si="171"/>
        <v>0</v>
      </c>
      <c r="U440" s="70">
        <f t="shared" si="171"/>
        <v>0</v>
      </c>
      <c r="V440" s="70">
        <f t="shared" si="171"/>
        <v>0</v>
      </c>
      <c r="W440" s="70">
        <f t="shared" si="171"/>
        <v>0</v>
      </c>
      <c r="X440" s="70">
        <f t="shared" si="171"/>
        <v>0</v>
      </c>
      <c r="Y440" s="70">
        <f t="shared" si="171"/>
        <v>0</v>
      </c>
      <c r="Z440" s="70">
        <f t="shared" si="171"/>
        <v>0</v>
      </c>
      <c r="AA440" s="70">
        <f t="shared" si="171"/>
        <v>0</v>
      </c>
      <c r="AB440" s="70">
        <f t="shared" si="171"/>
        <v>0</v>
      </c>
      <c r="AC440" s="70">
        <f t="shared" si="171"/>
        <v>0</v>
      </c>
      <c r="AD440" s="70">
        <f t="shared" si="171"/>
        <v>0</v>
      </c>
    </row>
    <row r="441" spans="1:30" s="45" customFormat="1" outlineLevel="1">
      <c r="C441" s="42"/>
      <c r="D441" s="42"/>
      <c r="E441" s="42"/>
      <c r="F441" s="42"/>
      <c r="G441" s="42"/>
      <c r="H441" s="42"/>
      <c r="I441" s="42"/>
      <c r="J441" s="42"/>
      <c r="K441" s="42"/>
      <c r="L441" s="42"/>
      <c r="M441" s="42"/>
      <c r="N441" s="42"/>
      <c r="O441" s="42"/>
      <c r="P441" s="42"/>
      <c r="Q441" s="42"/>
      <c r="R441" s="42"/>
      <c r="S441" s="42"/>
      <c r="T441" s="42"/>
      <c r="U441" s="42"/>
      <c r="V441" s="42"/>
      <c r="W441" s="42"/>
      <c r="X441" s="42"/>
      <c r="Y441" s="42"/>
      <c r="Z441" s="42"/>
      <c r="AA441" s="42"/>
      <c r="AB441" s="42"/>
      <c r="AC441" s="42"/>
      <c r="AD441" s="42"/>
    </row>
    <row r="442" spans="1:30" s="62" customFormat="1" outlineLevel="1">
      <c r="A442" s="50" t="str">
        <f>A128</f>
        <v>Beta Pit</v>
      </c>
      <c r="B442" s="60"/>
      <c r="C442" s="42"/>
      <c r="D442" s="61"/>
      <c r="E442" s="61"/>
      <c r="F442" s="61"/>
      <c r="G442" s="61"/>
      <c r="H442" s="61"/>
      <c r="I442" s="61"/>
      <c r="J442" s="61"/>
      <c r="K442" s="61"/>
      <c r="L442" s="61"/>
      <c r="M442" s="61"/>
      <c r="N442" s="61"/>
      <c r="O442" s="61"/>
      <c r="P442" s="61"/>
      <c r="Q442" s="61"/>
      <c r="R442" s="61"/>
      <c r="S442" s="61"/>
      <c r="T442" s="61"/>
      <c r="U442" s="61"/>
      <c r="V442" s="61"/>
      <c r="W442" s="61"/>
      <c r="X442" s="61"/>
      <c r="Y442" s="61"/>
      <c r="Z442" s="61"/>
      <c r="AA442" s="61"/>
      <c r="AB442" s="61"/>
      <c r="AC442" s="61"/>
      <c r="AD442" s="61"/>
    </row>
    <row r="443" spans="1:30" s="45" customFormat="1" outlineLevel="1">
      <c r="A443" s="45" t="str">
        <f>A129</f>
        <v>Waste mined - Beta Pit</v>
      </c>
      <c r="B443" s="45" t="str">
        <f>B129</f>
        <v>M dry tonnes</v>
      </c>
      <c r="C443" s="42">
        <f>SUM(D443:AD443)</f>
        <v>547</v>
      </c>
      <c r="D443" s="42">
        <f t="shared" ref="D443:AD443" si="172">D129</f>
        <v>0</v>
      </c>
      <c r="E443" s="42">
        <f t="shared" si="172"/>
        <v>0</v>
      </c>
      <c r="F443" s="42">
        <f t="shared" si="172"/>
        <v>0</v>
      </c>
      <c r="G443" s="42">
        <f t="shared" si="172"/>
        <v>0</v>
      </c>
      <c r="H443" s="42">
        <f t="shared" si="172"/>
        <v>0</v>
      </c>
      <c r="I443" s="42">
        <f t="shared" si="172"/>
        <v>0</v>
      </c>
      <c r="J443" s="42">
        <f t="shared" si="172"/>
        <v>42</v>
      </c>
      <c r="K443" s="42">
        <f t="shared" si="172"/>
        <v>52</v>
      </c>
      <c r="L443" s="42">
        <f t="shared" si="172"/>
        <v>52</v>
      </c>
      <c r="M443" s="42">
        <f t="shared" si="172"/>
        <v>52</v>
      </c>
      <c r="N443" s="42">
        <f t="shared" si="172"/>
        <v>52</v>
      </c>
      <c r="O443" s="42">
        <f t="shared" si="172"/>
        <v>52</v>
      </c>
      <c r="P443" s="42">
        <f t="shared" si="172"/>
        <v>65</v>
      </c>
      <c r="Q443" s="42">
        <f t="shared" si="172"/>
        <v>65</v>
      </c>
      <c r="R443" s="42">
        <f t="shared" si="172"/>
        <v>65</v>
      </c>
      <c r="S443" s="42">
        <f t="shared" si="172"/>
        <v>50</v>
      </c>
      <c r="T443" s="42">
        <f t="shared" si="172"/>
        <v>0</v>
      </c>
      <c r="U443" s="42">
        <f t="shared" si="172"/>
        <v>0</v>
      </c>
      <c r="V443" s="42">
        <f t="shared" si="172"/>
        <v>0</v>
      </c>
      <c r="W443" s="42">
        <f t="shared" si="172"/>
        <v>0</v>
      </c>
      <c r="X443" s="42">
        <f t="shared" si="172"/>
        <v>0</v>
      </c>
      <c r="Y443" s="42">
        <f t="shared" si="172"/>
        <v>0</v>
      </c>
      <c r="Z443" s="42">
        <f t="shared" si="172"/>
        <v>0</v>
      </c>
      <c r="AA443" s="42">
        <f t="shared" si="172"/>
        <v>0</v>
      </c>
      <c r="AB443" s="42">
        <f t="shared" si="172"/>
        <v>0</v>
      </c>
      <c r="AC443" s="42">
        <f t="shared" si="172"/>
        <v>0</v>
      </c>
      <c r="AD443" s="42">
        <f t="shared" si="172"/>
        <v>0</v>
      </c>
    </row>
    <row r="444" spans="1:30" outlineLevel="1">
      <c r="A444" s="283" t="s">
        <v>299</v>
      </c>
      <c r="B444" s="13" t="s">
        <v>451</v>
      </c>
      <c r="C444" s="42"/>
      <c r="D444" s="61"/>
      <c r="E444" s="284"/>
      <c r="F444" s="284"/>
      <c r="G444" s="284"/>
      <c r="H444" s="284"/>
      <c r="I444" s="284"/>
      <c r="J444" s="342">
        <v>4</v>
      </c>
      <c r="K444" s="284">
        <f t="shared" ref="K444:S444" si="173">J444+0.05</f>
        <v>4.05</v>
      </c>
      <c r="L444" s="284">
        <f t="shared" si="173"/>
        <v>4.0999999999999996</v>
      </c>
      <c r="M444" s="284">
        <f t="shared" si="173"/>
        <v>4.1499999999999995</v>
      </c>
      <c r="N444" s="284">
        <f t="shared" si="173"/>
        <v>4.1999999999999993</v>
      </c>
      <c r="O444" s="284">
        <f t="shared" si="173"/>
        <v>4.2499999999999991</v>
      </c>
      <c r="P444" s="284">
        <f t="shared" si="173"/>
        <v>4.2999999999999989</v>
      </c>
      <c r="Q444" s="284">
        <f t="shared" si="173"/>
        <v>4.3499999999999988</v>
      </c>
      <c r="R444" s="284">
        <f t="shared" si="173"/>
        <v>4.3999999999999986</v>
      </c>
      <c r="S444" s="284">
        <f t="shared" si="173"/>
        <v>4.4499999999999984</v>
      </c>
      <c r="T444" s="284">
        <f t="shared" ref="T444:AD444" si="174">S444</f>
        <v>4.4499999999999984</v>
      </c>
      <c r="U444" s="284">
        <f t="shared" si="174"/>
        <v>4.4499999999999984</v>
      </c>
      <c r="V444" s="284">
        <f t="shared" si="174"/>
        <v>4.4499999999999984</v>
      </c>
      <c r="W444" s="284">
        <f t="shared" si="174"/>
        <v>4.4499999999999984</v>
      </c>
      <c r="X444" s="284">
        <f t="shared" si="174"/>
        <v>4.4499999999999984</v>
      </c>
      <c r="Y444" s="284">
        <f t="shared" si="174"/>
        <v>4.4499999999999984</v>
      </c>
      <c r="Z444" s="284">
        <f t="shared" si="174"/>
        <v>4.4499999999999984</v>
      </c>
      <c r="AA444" s="284">
        <f t="shared" si="174"/>
        <v>4.4499999999999984</v>
      </c>
      <c r="AB444" s="284">
        <f t="shared" si="174"/>
        <v>4.4499999999999984</v>
      </c>
      <c r="AC444" s="284">
        <f t="shared" si="174"/>
        <v>4.4499999999999984</v>
      </c>
      <c r="AD444" s="284">
        <f t="shared" si="174"/>
        <v>4.4499999999999984</v>
      </c>
    </row>
    <row r="445" spans="1:30" s="45" customFormat="1" outlineLevel="1">
      <c r="A445" s="45" t="s">
        <v>296</v>
      </c>
      <c r="B445" s="45" t="s">
        <v>285</v>
      </c>
      <c r="C445" s="42">
        <f>SUM(D445:AD445)</f>
        <v>2317.75</v>
      </c>
      <c r="D445" s="42"/>
      <c r="E445" s="42">
        <f t="shared" ref="E445:AD445" si="175">E443*E444</f>
        <v>0</v>
      </c>
      <c r="F445" s="42">
        <f t="shared" si="175"/>
        <v>0</v>
      </c>
      <c r="G445" s="42">
        <f t="shared" si="175"/>
        <v>0</v>
      </c>
      <c r="H445" s="42">
        <f t="shared" si="175"/>
        <v>0</v>
      </c>
      <c r="I445" s="42">
        <f t="shared" si="175"/>
        <v>0</v>
      </c>
      <c r="J445" s="42">
        <f t="shared" si="175"/>
        <v>168</v>
      </c>
      <c r="K445" s="42">
        <f t="shared" si="175"/>
        <v>210.6</v>
      </c>
      <c r="L445" s="42">
        <f t="shared" si="175"/>
        <v>213.2</v>
      </c>
      <c r="M445" s="42">
        <f t="shared" si="175"/>
        <v>215.79999999999998</v>
      </c>
      <c r="N445" s="42">
        <f t="shared" si="175"/>
        <v>218.39999999999998</v>
      </c>
      <c r="O445" s="42">
        <f t="shared" si="175"/>
        <v>220.99999999999994</v>
      </c>
      <c r="P445" s="42">
        <f t="shared" si="175"/>
        <v>279.49999999999994</v>
      </c>
      <c r="Q445" s="42">
        <f t="shared" si="175"/>
        <v>282.74999999999994</v>
      </c>
      <c r="R445" s="42">
        <f t="shared" si="175"/>
        <v>285.99999999999989</v>
      </c>
      <c r="S445" s="42">
        <f t="shared" si="175"/>
        <v>222.49999999999991</v>
      </c>
      <c r="T445" s="42">
        <f t="shared" si="175"/>
        <v>0</v>
      </c>
      <c r="U445" s="42">
        <f t="shared" si="175"/>
        <v>0</v>
      </c>
      <c r="V445" s="42">
        <f t="shared" si="175"/>
        <v>0</v>
      </c>
      <c r="W445" s="42">
        <f t="shared" si="175"/>
        <v>0</v>
      </c>
      <c r="X445" s="42">
        <f t="shared" si="175"/>
        <v>0</v>
      </c>
      <c r="Y445" s="42">
        <f t="shared" si="175"/>
        <v>0</v>
      </c>
      <c r="Z445" s="42">
        <f t="shared" si="175"/>
        <v>0</v>
      </c>
      <c r="AA445" s="42">
        <f t="shared" si="175"/>
        <v>0</v>
      </c>
      <c r="AB445" s="42">
        <f t="shared" si="175"/>
        <v>0</v>
      </c>
      <c r="AC445" s="42">
        <f t="shared" si="175"/>
        <v>0</v>
      </c>
      <c r="AD445" s="42">
        <f t="shared" si="175"/>
        <v>0</v>
      </c>
    </row>
    <row r="446" spans="1:30" s="45" customFormat="1" outlineLevel="1">
      <c r="C446" s="42"/>
      <c r="D446" s="42"/>
      <c r="E446" s="42"/>
      <c r="F446" s="42"/>
      <c r="G446" s="42"/>
      <c r="H446" s="42"/>
      <c r="I446" s="42"/>
      <c r="J446" s="42"/>
      <c r="K446" s="42"/>
      <c r="L446" s="42"/>
      <c r="M446" s="42"/>
      <c r="N446" s="42"/>
      <c r="O446" s="42"/>
      <c r="P446" s="42"/>
      <c r="Q446" s="42"/>
      <c r="R446" s="42"/>
      <c r="S446" s="42"/>
      <c r="T446" s="42"/>
      <c r="U446" s="42"/>
      <c r="V446" s="42"/>
      <c r="W446" s="42"/>
      <c r="X446" s="42"/>
      <c r="Y446" s="42"/>
      <c r="Z446" s="42"/>
      <c r="AA446" s="42"/>
      <c r="AB446" s="42"/>
      <c r="AC446" s="42"/>
      <c r="AD446" s="42"/>
    </row>
    <row r="447" spans="1:30" s="45" customFormat="1" outlineLevel="1">
      <c r="A447" s="45" t="str">
        <f>A130</f>
        <v>Ore mined - Beta Pit</v>
      </c>
      <c r="B447" s="45" t="str">
        <f>B130</f>
        <v>M dry tonnes</v>
      </c>
      <c r="C447" s="42">
        <f>SUM(D447:AD447)</f>
        <v>51</v>
      </c>
      <c r="D447" s="42">
        <f t="shared" ref="D447:AD447" si="176">D130</f>
        <v>0</v>
      </c>
      <c r="E447" s="42">
        <f t="shared" si="176"/>
        <v>0</v>
      </c>
      <c r="F447" s="42">
        <f t="shared" si="176"/>
        <v>0</v>
      </c>
      <c r="G447" s="42">
        <f t="shared" si="176"/>
        <v>0</v>
      </c>
      <c r="H447" s="42">
        <f t="shared" si="176"/>
        <v>0</v>
      </c>
      <c r="I447" s="42">
        <f t="shared" si="176"/>
        <v>0</v>
      </c>
      <c r="J447" s="42">
        <f t="shared" si="176"/>
        <v>0</v>
      </c>
      <c r="K447" s="42">
        <f t="shared" si="176"/>
        <v>3</v>
      </c>
      <c r="L447" s="42">
        <f t="shared" si="176"/>
        <v>4</v>
      </c>
      <c r="M447" s="42">
        <f t="shared" si="176"/>
        <v>4</v>
      </c>
      <c r="N447" s="42">
        <f t="shared" si="176"/>
        <v>4</v>
      </c>
      <c r="O447" s="42">
        <f t="shared" si="176"/>
        <v>4</v>
      </c>
      <c r="P447" s="42">
        <f t="shared" si="176"/>
        <v>4</v>
      </c>
      <c r="Q447" s="42">
        <f t="shared" si="176"/>
        <v>7</v>
      </c>
      <c r="R447" s="42">
        <f t="shared" si="176"/>
        <v>7</v>
      </c>
      <c r="S447" s="42">
        <f t="shared" si="176"/>
        <v>7</v>
      </c>
      <c r="T447" s="42">
        <f t="shared" si="176"/>
        <v>7</v>
      </c>
      <c r="U447" s="42">
        <f t="shared" si="176"/>
        <v>0</v>
      </c>
      <c r="V447" s="42">
        <f t="shared" si="176"/>
        <v>0</v>
      </c>
      <c r="W447" s="42">
        <f t="shared" si="176"/>
        <v>0</v>
      </c>
      <c r="X447" s="42">
        <f t="shared" si="176"/>
        <v>0</v>
      </c>
      <c r="Y447" s="42">
        <f t="shared" si="176"/>
        <v>0</v>
      </c>
      <c r="Z447" s="42">
        <f t="shared" si="176"/>
        <v>0</v>
      </c>
      <c r="AA447" s="42">
        <f t="shared" si="176"/>
        <v>0</v>
      </c>
      <c r="AB447" s="42">
        <f t="shared" si="176"/>
        <v>0</v>
      </c>
      <c r="AC447" s="42">
        <f t="shared" si="176"/>
        <v>0</v>
      </c>
      <c r="AD447" s="42">
        <f t="shared" si="176"/>
        <v>0</v>
      </c>
    </row>
    <row r="448" spans="1:30" outlineLevel="1">
      <c r="A448" s="283" t="s">
        <v>300</v>
      </c>
      <c r="B448" s="13" t="s">
        <v>451</v>
      </c>
      <c r="C448" s="42"/>
      <c r="D448" s="61"/>
      <c r="E448" s="284"/>
      <c r="F448" s="284"/>
      <c r="G448" s="284"/>
      <c r="H448" s="284"/>
      <c r="I448" s="284"/>
      <c r="J448" s="284"/>
      <c r="K448" s="342">
        <v>3.75</v>
      </c>
      <c r="L448" s="284">
        <v>3.8</v>
      </c>
      <c r="M448" s="284">
        <v>3.8499999999999996</v>
      </c>
      <c r="N448" s="284">
        <v>3.8999999999999995</v>
      </c>
      <c r="O448" s="284">
        <v>3.9499999999999993</v>
      </c>
      <c r="P448" s="284">
        <v>3.9999999999999991</v>
      </c>
      <c r="Q448" s="284">
        <v>4.0499999999999989</v>
      </c>
      <c r="R448" s="284">
        <v>4.0999999999999988</v>
      </c>
      <c r="S448" s="284">
        <v>4.1499999999999986</v>
      </c>
      <c r="T448" s="284">
        <v>4.1999999999999984</v>
      </c>
      <c r="U448" s="284">
        <v>4.1999999999999984</v>
      </c>
      <c r="V448" s="284">
        <v>4.1999999999999984</v>
      </c>
      <c r="W448" s="284">
        <v>4.1999999999999984</v>
      </c>
      <c r="X448" s="284">
        <v>4.1999999999999984</v>
      </c>
      <c r="Y448" s="284">
        <v>4.1999999999999984</v>
      </c>
      <c r="Z448" s="284">
        <v>4.1999999999999984</v>
      </c>
      <c r="AA448" s="284">
        <v>4.1999999999999984</v>
      </c>
      <c r="AB448" s="284">
        <v>4.1999999999999984</v>
      </c>
      <c r="AC448" s="284">
        <v>4.1999999999999984</v>
      </c>
      <c r="AD448" s="284">
        <v>4.1999999999999984</v>
      </c>
    </row>
    <row r="449" spans="1:30" s="45" customFormat="1" outlineLevel="1">
      <c r="A449" s="45" t="s">
        <v>297</v>
      </c>
      <c r="B449" s="45" t="s">
        <v>285</v>
      </c>
      <c r="C449" s="42">
        <f>SUM(D449:AD449)</f>
        <v>204.74999999999994</v>
      </c>
      <c r="D449" s="42"/>
      <c r="E449" s="42">
        <f t="shared" ref="E449:AD449" si="177">E447*E448</f>
        <v>0</v>
      </c>
      <c r="F449" s="42">
        <f t="shared" si="177"/>
        <v>0</v>
      </c>
      <c r="G449" s="42">
        <f t="shared" si="177"/>
        <v>0</v>
      </c>
      <c r="H449" s="42">
        <f t="shared" si="177"/>
        <v>0</v>
      </c>
      <c r="I449" s="42">
        <f t="shared" si="177"/>
        <v>0</v>
      </c>
      <c r="J449" s="42">
        <f t="shared" si="177"/>
        <v>0</v>
      </c>
      <c r="K449" s="42">
        <f t="shared" si="177"/>
        <v>11.25</v>
      </c>
      <c r="L449" s="42">
        <f t="shared" si="177"/>
        <v>15.2</v>
      </c>
      <c r="M449" s="42">
        <f t="shared" si="177"/>
        <v>15.399999999999999</v>
      </c>
      <c r="N449" s="42">
        <f t="shared" si="177"/>
        <v>15.599999999999998</v>
      </c>
      <c r="O449" s="42">
        <f t="shared" si="177"/>
        <v>15.799999999999997</v>
      </c>
      <c r="P449" s="42">
        <f t="shared" si="177"/>
        <v>15.999999999999996</v>
      </c>
      <c r="Q449" s="42">
        <f t="shared" si="177"/>
        <v>28.349999999999994</v>
      </c>
      <c r="R449" s="42">
        <f t="shared" si="177"/>
        <v>28.699999999999992</v>
      </c>
      <c r="S449" s="42">
        <f t="shared" si="177"/>
        <v>29.04999999999999</v>
      </c>
      <c r="T449" s="42">
        <f t="shared" si="177"/>
        <v>29.399999999999988</v>
      </c>
      <c r="U449" s="42">
        <f t="shared" si="177"/>
        <v>0</v>
      </c>
      <c r="V449" s="42">
        <f t="shared" si="177"/>
        <v>0</v>
      </c>
      <c r="W449" s="42">
        <f t="shared" si="177"/>
        <v>0</v>
      </c>
      <c r="X449" s="42">
        <f t="shared" si="177"/>
        <v>0</v>
      </c>
      <c r="Y449" s="42">
        <f t="shared" si="177"/>
        <v>0</v>
      </c>
      <c r="Z449" s="42">
        <f t="shared" si="177"/>
        <v>0</v>
      </c>
      <c r="AA449" s="42">
        <f t="shared" si="177"/>
        <v>0</v>
      </c>
      <c r="AB449" s="42">
        <f t="shared" si="177"/>
        <v>0</v>
      </c>
      <c r="AC449" s="42">
        <f t="shared" si="177"/>
        <v>0</v>
      </c>
      <c r="AD449" s="42">
        <f t="shared" si="177"/>
        <v>0</v>
      </c>
    </row>
    <row r="450" spans="1:30" s="45" customFormat="1" outlineLevel="1">
      <c r="C450" s="42"/>
      <c r="D450" s="42"/>
      <c r="E450" s="42"/>
      <c r="F450" s="42"/>
      <c r="G450" s="42"/>
      <c r="H450" s="42"/>
      <c r="I450" s="42"/>
      <c r="J450" s="42"/>
      <c r="K450" s="42"/>
      <c r="L450" s="42"/>
      <c r="M450" s="42"/>
      <c r="N450" s="42"/>
      <c r="O450" s="42"/>
      <c r="P450" s="42"/>
      <c r="Q450" s="42"/>
      <c r="R450" s="42"/>
      <c r="S450" s="42"/>
      <c r="T450" s="42"/>
      <c r="U450" s="42"/>
      <c r="V450" s="42"/>
      <c r="W450" s="42"/>
      <c r="X450" s="42"/>
      <c r="Y450" s="42"/>
      <c r="Z450" s="42"/>
      <c r="AA450" s="42"/>
      <c r="AB450" s="42"/>
      <c r="AC450" s="42"/>
      <c r="AD450" s="42"/>
    </row>
    <row r="451" spans="1:30" s="45" customFormat="1" outlineLevel="1">
      <c r="A451" s="45" t="s">
        <v>301</v>
      </c>
      <c r="B451" s="45" t="s">
        <v>285</v>
      </c>
      <c r="C451" s="42">
        <f>SUM(D451:AD451)</f>
        <v>2522.4999999999995</v>
      </c>
      <c r="D451" s="70">
        <f t="shared" ref="D451:AD451" si="178">D445+D449</f>
        <v>0</v>
      </c>
      <c r="E451" s="70">
        <f t="shared" si="178"/>
        <v>0</v>
      </c>
      <c r="F451" s="70">
        <f t="shared" si="178"/>
        <v>0</v>
      </c>
      <c r="G451" s="70">
        <f t="shared" si="178"/>
        <v>0</v>
      </c>
      <c r="H451" s="70">
        <f t="shared" si="178"/>
        <v>0</v>
      </c>
      <c r="I451" s="70">
        <f t="shared" si="178"/>
        <v>0</v>
      </c>
      <c r="J451" s="70">
        <f t="shared" si="178"/>
        <v>168</v>
      </c>
      <c r="K451" s="70">
        <f t="shared" si="178"/>
        <v>221.85</v>
      </c>
      <c r="L451" s="70">
        <f t="shared" si="178"/>
        <v>228.39999999999998</v>
      </c>
      <c r="M451" s="70">
        <f t="shared" si="178"/>
        <v>231.2</v>
      </c>
      <c r="N451" s="70">
        <f t="shared" si="178"/>
        <v>233.99999999999997</v>
      </c>
      <c r="O451" s="70">
        <f t="shared" si="178"/>
        <v>236.79999999999995</v>
      </c>
      <c r="P451" s="70">
        <f t="shared" si="178"/>
        <v>295.49999999999994</v>
      </c>
      <c r="Q451" s="70">
        <f t="shared" si="178"/>
        <v>311.09999999999991</v>
      </c>
      <c r="R451" s="70">
        <f t="shared" si="178"/>
        <v>314.69999999999987</v>
      </c>
      <c r="S451" s="70">
        <f t="shared" si="178"/>
        <v>251.5499999999999</v>
      </c>
      <c r="T451" s="70">
        <f t="shared" si="178"/>
        <v>29.399999999999988</v>
      </c>
      <c r="U451" s="70">
        <f t="shared" si="178"/>
        <v>0</v>
      </c>
      <c r="V451" s="70">
        <f t="shared" si="178"/>
        <v>0</v>
      </c>
      <c r="W451" s="70">
        <f t="shared" si="178"/>
        <v>0</v>
      </c>
      <c r="X451" s="70">
        <f t="shared" si="178"/>
        <v>0</v>
      </c>
      <c r="Y451" s="70">
        <f t="shared" si="178"/>
        <v>0</v>
      </c>
      <c r="Z451" s="70">
        <f t="shared" si="178"/>
        <v>0</v>
      </c>
      <c r="AA451" s="70">
        <f t="shared" si="178"/>
        <v>0</v>
      </c>
      <c r="AB451" s="70">
        <f t="shared" si="178"/>
        <v>0</v>
      </c>
      <c r="AC451" s="70">
        <f t="shared" si="178"/>
        <v>0</v>
      </c>
      <c r="AD451" s="70">
        <f t="shared" si="178"/>
        <v>0</v>
      </c>
    </row>
    <row r="452" spans="1:30" s="45" customFormat="1" outlineLevel="1">
      <c r="C452" s="42"/>
      <c r="D452" s="42"/>
      <c r="E452" s="42"/>
      <c r="F452" s="42"/>
      <c r="G452" s="42"/>
      <c r="H452" s="42"/>
      <c r="I452" s="42"/>
      <c r="J452" s="42"/>
      <c r="K452" s="42"/>
      <c r="L452" s="42"/>
      <c r="M452" s="42"/>
      <c r="N452" s="42"/>
      <c r="O452" s="42"/>
      <c r="P452" s="42"/>
      <c r="Q452" s="42"/>
      <c r="R452" s="42"/>
      <c r="S452" s="42"/>
      <c r="T452" s="42"/>
      <c r="U452" s="42"/>
      <c r="V452" s="42"/>
      <c r="W452" s="42"/>
      <c r="X452" s="42"/>
      <c r="Y452" s="42"/>
      <c r="Z452" s="42"/>
      <c r="AA452" s="42"/>
      <c r="AB452" s="42"/>
      <c r="AC452" s="42"/>
      <c r="AD452" s="42"/>
    </row>
    <row r="453" spans="1:30" s="59" customFormat="1" outlineLevel="1">
      <c r="A453" s="59" t="s">
        <v>302</v>
      </c>
      <c r="B453" s="45" t="s">
        <v>285</v>
      </c>
      <c r="C453" s="44">
        <f>SUM(D453:AD453)</f>
        <v>5734.5</v>
      </c>
      <c r="D453" s="55">
        <f t="shared" ref="D453:AD453" si="179">D440+D451</f>
        <v>0</v>
      </c>
      <c r="E453" s="55">
        <f t="shared" si="179"/>
        <v>222</v>
      </c>
      <c r="F453" s="55">
        <f t="shared" si="179"/>
        <v>247</v>
      </c>
      <c r="G453" s="55">
        <f t="shared" si="179"/>
        <v>245</v>
      </c>
      <c r="H453" s="55">
        <f t="shared" si="179"/>
        <v>395</v>
      </c>
      <c r="I453" s="55">
        <f t="shared" si="179"/>
        <v>395</v>
      </c>
      <c r="J453" s="55">
        <f t="shared" si="179"/>
        <v>491</v>
      </c>
      <c r="K453" s="55">
        <f t="shared" si="179"/>
        <v>469.85</v>
      </c>
      <c r="L453" s="55">
        <f t="shared" si="179"/>
        <v>471.4</v>
      </c>
      <c r="M453" s="55">
        <f t="shared" si="179"/>
        <v>474.2</v>
      </c>
      <c r="N453" s="55">
        <f t="shared" si="179"/>
        <v>477</v>
      </c>
      <c r="O453" s="55">
        <f t="shared" si="179"/>
        <v>479.79999999999995</v>
      </c>
      <c r="P453" s="55">
        <f t="shared" si="179"/>
        <v>460.49999999999994</v>
      </c>
      <c r="Q453" s="55">
        <f t="shared" si="179"/>
        <v>311.09999999999991</v>
      </c>
      <c r="R453" s="55">
        <f t="shared" si="179"/>
        <v>314.69999999999987</v>
      </c>
      <c r="S453" s="55">
        <f t="shared" si="179"/>
        <v>251.5499999999999</v>
      </c>
      <c r="T453" s="55">
        <f t="shared" si="179"/>
        <v>29.399999999999988</v>
      </c>
      <c r="U453" s="55">
        <f t="shared" si="179"/>
        <v>0</v>
      </c>
      <c r="V453" s="55">
        <f t="shared" si="179"/>
        <v>0</v>
      </c>
      <c r="W453" s="55">
        <f t="shared" si="179"/>
        <v>0</v>
      </c>
      <c r="X453" s="55">
        <f t="shared" si="179"/>
        <v>0</v>
      </c>
      <c r="Y453" s="55">
        <f t="shared" si="179"/>
        <v>0</v>
      </c>
      <c r="Z453" s="55">
        <f t="shared" si="179"/>
        <v>0</v>
      </c>
      <c r="AA453" s="55">
        <f t="shared" si="179"/>
        <v>0</v>
      </c>
      <c r="AB453" s="55">
        <f t="shared" si="179"/>
        <v>0</v>
      </c>
      <c r="AC453" s="55">
        <f t="shared" si="179"/>
        <v>0</v>
      </c>
      <c r="AD453" s="55">
        <f t="shared" si="179"/>
        <v>0</v>
      </c>
    </row>
    <row r="454" spans="1:30" s="45" customFormat="1" outlineLevel="1">
      <c r="C454" s="42"/>
      <c r="D454" s="42"/>
      <c r="E454" s="42"/>
      <c r="F454" s="42"/>
      <c r="G454" s="42"/>
      <c r="H454" s="42"/>
      <c r="I454" s="42"/>
      <c r="J454" s="42"/>
      <c r="K454" s="42"/>
      <c r="L454" s="42"/>
      <c r="M454" s="42"/>
      <c r="N454" s="42"/>
      <c r="O454" s="42"/>
      <c r="P454" s="42"/>
      <c r="Q454" s="42"/>
      <c r="R454" s="42"/>
      <c r="S454" s="42"/>
      <c r="T454" s="42"/>
      <c r="U454" s="42"/>
      <c r="V454" s="42"/>
      <c r="W454" s="42"/>
      <c r="X454" s="42"/>
      <c r="Y454" s="42"/>
      <c r="Z454" s="42"/>
      <c r="AA454" s="42"/>
      <c r="AB454" s="42"/>
      <c r="AC454" s="42"/>
      <c r="AD454" s="42"/>
    </row>
    <row r="455" spans="1:30" s="8" customFormat="1" ht="15.5" outlineLevel="1">
      <c r="A455" s="97" t="s">
        <v>220</v>
      </c>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row>
    <row r="456" spans="1:30" s="62" customFormat="1" outlineLevel="1">
      <c r="A456" s="13" t="s">
        <v>558</v>
      </c>
      <c r="B456" s="60"/>
      <c r="C456" s="42"/>
      <c r="D456" s="61"/>
      <c r="E456" s="61"/>
      <c r="F456" s="61"/>
      <c r="G456" s="61"/>
      <c r="H456" s="61"/>
      <c r="I456" s="61"/>
      <c r="J456" s="61"/>
      <c r="K456" s="61"/>
      <c r="L456" s="61"/>
      <c r="M456" s="61"/>
      <c r="N456" s="61"/>
      <c r="O456" s="61"/>
      <c r="P456" s="61"/>
      <c r="Q456" s="61"/>
      <c r="R456" s="61"/>
      <c r="S456" s="61"/>
      <c r="T456" s="61"/>
      <c r="U456" s="61"/>
      <c r="V456" s="61"/>
      <c r="W456" s="61"/>
      <c r="X456" s="61"/>
      <c r="Y456" s="61"/>
      <c r="Z456" s="61"/>
      <c r="AA456" s="61"/>
      <c r="AB456" s="61"/>
      <c r="AC456" s="61"/>
      <c r="AD456" s="61"/>
    </row>
    <row r="457" spans="1:30" outlineLevel="1">
      <c r="A457" s="283" t="s">
        <v>349</v>
      </c>
      <c r="B457" s="13" t="s">
        <v>452</v>
      </c>
      <c r="C457" s="42"/>
      <c r="D457" s="285">
        <v>12</v>
      </c>
      <c r="E457" s="285">
        <f t="shared" ref="E457:AD457" si="180">D457</f>
        <v>12</v>
      </c>
      <c r="F457" s="285">
        <f t="shared" si="180"/>
        <v>12</v>
      </c>
      <c r="G457" s="285">
        <f t="shared" si="180"/>
        <v>12</v>
      </c>
      <c r="H457" s="285">
        <f t="shared" si="180"/>
        <v>12</v>
      </c>
      <c r="I457" s="285">
        <f t="shared" si="180"/>
        <v>12</v>
      </c>
      <c r="J457" s="285">
        <f t="shared" si="180"/>
        <v>12</v>
      </c>
      <c r="K457" s="285">
        <f t="shared" si="180"/>
        <v>12</v>
      </c>
      <c r="L457" s="285">
        <f t="shared" si="180"/>
        <v>12</v>
      </c>
      <c r="M457" s="285">
        <f t="shared" si="180"/>
        <v>12</v>
      </c>
      <c r="N457" s="285">
        <f t="shared" si="180"/>
        <v>12</v>
      </c>
      <c r="O457" s="285">
        <f t="shared" si="180"/>
        <v>12</v>
      </c>
      <c r="P457" s="285">
        <f t="shared" si="180"/>
        <v>12</v>
      </c>
      <c r="Q457" s="285">
        <f t="shared" si="180"/>
        <v>12</v>
      </c>
      <c r="R457" s="285">
        <f t="shared" si="180"/>
        <v>12</v>
      </c>
      <c r="S457" s="285">
        <f t="shared" si="180"/>
        <v>12</v>
      </c>
      <c r="T457" s="285">
        <f t="shared" si="180"/>
        <v>12</v>
      </c>
      <c r="U457" s="285">
        <f t="shared" si="180"/>
        <v>12</v>
      </c>
      <c r="V457" s="285">
        <f t="shared" si="180"/>
        <v>12</v>
      </c>
      <c r="W457" s="285">
        <f t="shared" si="180"/>
        <v>12</v>
      </c>
      <c r="X457" s="285">
        <f t="shared" si="180"/>
        <v>12</v>
      </c>
      <c r="Y457" s="285">
        <f t="shared" si="180"/>
        <v>12</v>
      </c>
      <c r="Z457" s="285">
        <f t="shared" si="180"/>
        <v>12</v>
      </c>
      <c r="AA457" s="285">
        <f t="shared" si="180"/>
        <v>12</v>
      </c>
      <c r="AB457" s="285">
        <f t="shared" si="180"/>
        <v>12</v>
      </c>
      <c r="AC457" s="285">
        <f t="shared" si="180"/>
        <v>12</v>
      </c>
      <c r="AD457" s="285">
        <f t="shared" si="180"/>
        <v>12</v>
      </c>
    </row>
    <row r="458" spans="1:30" s="59" customFormat="1" outlineLevel="1">
      <c r="A458" s="59" t="s">
        <v>220</v>
      </c>
      <c r="B458" s="45" t="s">
        <v>452</v>
      </c>
      <c r="C458" s="44">
        <f>SUM(D458:AD458)</f>
        <v>192</v>
      </c>
      <c r="D458" s="55">
        <f t="shared" ref="D458:AD458" si="181">IF(D453=0,0,D457)</f>
        <v>0</v>
      </c>
      <c r="E458" s="55">
        <f t="shared" si="181"/>
        <v>12</v>
      </c>
      <c r="F458" s="55">
        <f t="shared" si="181"/>
        <v>12</v>
      </c>
      <c r="G458" s="55">
        <f t="shared" si="181"/>
        <v>12</v>
      </c>
      <c r="H458" s="55">
        <f t="shared" si="181"/>
        <v>12</v>
      </c>
      <c r="I458" s="55">
        <f t="shared" si="181"/>
        <v>12</v>
      </c>
      <c r="J458" s="55">
        <f t="shared" si="181"/>
        <v>12</v>
      </c>
      <c r="K458" s="55">
        <f t="shared" si="181"/>
        <v>12</v>
      </c>
      <c r="L458" s="55">
        <f t="shared" si="181"/>
        <v>12</v>
      </c>
      <c r="M458" s="55">
        <f t="shared" si="181"/>
        <v>12</v>
      </c>
      <c r="N458" s="55">
        <f t="shared" si="181"/>
        <v>12</v>
      </c>
      <c r="O458" s="55">
        <f t="shared" si="181"/>
        <v>12</v>
      </c>
      <c r="P458" s="55">
        <f t="shared" si="181"/>
        <v>12</v>
      </c>
      <c r="Q458" s="55">
        <f t="shared" si="181"/>
        <v>12</v>
      </c>
      <c r="R458" s="55">
        <f t="shared" si="181"/>
        <v>12</v>
      </c>
      <c r="S458" s="55">
        <f t="shared" si="181"/>
        <v>12</v>
      </c>
      <c r="T458" s="55">
        <f t="shared" si="181"/>
        <v>12</v>
      </c>
      <c r="U458" s="55">
        <f t="shared" si="181"/>
        <v>0</v>
      </c>
      <c r="V458" s="55">
        <f t="shared" si="181"/>
        <v>0</v>
      </c>
      <c r="W458" s="55">
        <f t="shared" si="181"/>
        <v>0</v>
      </c>
      <c r="X458" s="55">
        <f t="shared" si="181"/>
        <v>0</v>
      </c>
      <c r="Y458" s="55">
        <f t="shared" si="181"/>
        <v>0</v>
      </c>
      <c r="Z458" s="55">
        <f t="shared" si="181"/>
        <v>0</v>
      </c>
      <c r="AA458" s="55">
        <f t="shared" si="181"/>
        <v>0</v>
      </c>
      <c r="AB458" s="55">
        <f t="shared" si="181"/>
        <v>0</v>
      </c>
      <c r="AC458" s="55">
        <f t="shared" si="181"/>
        <v>0</v>
      </c>
      <c r="AD458" s="55">
        <f t="shared" si="181"/>
        <v>0</v>
      </c>
    </row>
    <row r="459" spans="1:30" s="45" customFormat="1" outlineLevel="1">
      <c r="C459" s="42"/>
      <c r="D459" s="42"/>
      <c r="E459" s="42"/>
      <c r="F459" s="42"/>
      <c r="G459" s="42"/>
      <c r="H459" s="42"/>
      <c r="I459" s="42"/>
      <c r="J459" s="42"/>
      <c r="K459" s="42"/>
      <c r="L459" s="42"/>
      <c r="M459" s="42"/>
      <c r="N459" s="42"/>
      <c r="O459" s="42"/>
      <c r="P459" s="42"/>
      <c r="Q459" s="42"/>
      <c r="R459" s="42"/>
      <c r="S459" s="42"/>
      <c r="T459" s="42"/>
      <c r="U459" s="42"/>
      <c r="V459" s="42"/>
      <c r="W459" s="42"/>
      <c r="X459" s="42"/>
      <c r="Y459" s="42"/>
      <c r="Z459" s="42"/>
      <c r="AA459" s="42"/>
      <c r="AB459" s="42"/>
      <c r="AC459" s="42"/>
      <c r="AD459" s="42"/>
    </row>
    <row r="460" spans="1:30" s="286" customFormat="1" ht="28.75" customHeight="1" outlineLevel="1">
      <c r="A460" s="127" t="s">
        <v>28</v>
      </c>
      <c r="B460" s="117" t="s">
        <v>285</v>
      </c>
      <c r="C460" s="232">
        <f>SUM(D460:AD460)</f>
        <v>5926.5</v>
      </c>
      <c r="D460" s="287">
        <f t="shared" ref="D460:AD460" si="182">D453+D458</f>
        <v>0</v>
      </c>
      <c r="E460" s="287">
        <f t="shared" si="182"/>
        <v>234</v>
      </c>
      <c r="F460" s="287">
        <f t="shared" si="182"/>
        <v>259</v>
      </c>
      <c r="G460" s="287">
        <f t="shared" si="182"/>
        <v>257</v>
      </c>
      <c r="H460" s="287">
        <f t="shared" si="182"/>
        <v>407</v>
      </c>
      <c r="I460" s="287">
        <f t="shared" si="182"/>
        <v>407</v>
      </c>
      <c r="J460" s="287">
        <f t="shared" si="182"/>
        <v>503</v>
      </c>
      <c r="K460" s="287">
        <f t="shared" si="182"/>
        <v>481.85</v>
      </c>
      <c r="L460" s="287">
        <f t="shared" si="182"/>
        <v>483.4</v>
      </c>
      <c r="M460" s="287">
        <f t="shared" si="182"/>
        <v>486.2</v>
      </c>
      <c r="N460" s="287">
        <f t="shared" si="182"/>
        <v>489</v>
      </c>
      <c r="O460" s="287">
        <f t="shared" si="182"/>
        <v>491.79999999999995</v>
      </c>
      <c r="P460" s="287">
        <f t="shared" si="182"/>
        <v>472.49999999999994</v>
      </c>
      <c r="Q460" s="287">
        <f t="shared" si="182"/>
        <v>323.09999999999991</v>
      </c>
      <c r="R460" s="287">
        <f t="shared" si="182"/>
        <v>326.69999999999987</v>
      </c>
      <c r="S460" s="287">
        <f t="shared" si="182"/>
        <v>263.5499999999999</v>
      </c>
      <c r="T460" s="287">
        <f t="shared" si="182"/>
        <v>41.399999999999991</v>
      </c>
      <c r="U460" s="287">
        <f t="shared" si="182"/>
        <v>0</v>
      </c>
      <c r="V460" s="287">
        <f t="shared" si="182"/>
        <v>0</v>
      </c>
      <c r="W460" s="287">
        <f t="shared" si="182"/>
        <v>0</v>
      </c>
      <c r="X460" s="287">
        <f t="shared" si="182"/>
        <v>0</v>
      </c>
      <c r="Y460" s="287">
        <f t="shared" si="182"/>
        <v>0</v>
      </c>
      <c r="Z460" s="287">
        <f t="shared" si="182"/>
        <v>0</v>
      </c>
      <c r="AA460" s="287">
        <f t="shared" si="182"/>
        <v>0</v>
      </c>
      <c r="AB460" s="287">
        <f t="shared" si="182"/>
        <v>0</v>
      </c>
      <c r="AC460" s="287">
        <f t="shared" si="182"/>
        <v>0</v>
      </c>
      <c r="AD460" s="287">
        <f t="shared" si="182"/>
        <v>0</v>
      </c>
    </row>
    <row r="461" spans="1:30" s="45" customFormat="1" outlineLevel="1">
      <c r="A461" s="45" t="s">
        <v>304</v>
      </c>
      <c r="B461" s="69" t="s">
        <v>453</v>
      </c>
      <c r="C461" s="45">
        <f t="shared" ref="C461:AD461" si="183">IF(C139=0,0,C460/C139)</f>
        <v>57.538834951456309</v>
      </c>
      <c r="D461" s="45">
        <f t="shared" si="183"/>
        <v>0</v>
      </c>
      <c r="E461" s="45">
        <f t="shared" si="183"/>
        <v>0</v>
      </c>
      <c r="F461" s="45">
        <f t="shared" si="183"/>
        <v>51.8</v>
      </c>
      <c r="G461" s="45">
        <f t="shared" si="183"/>
        <v>36.714285714285715</v>
      </c>
      <c r="H461" s="45">
        <f t="shared" si="183"/>
        <v>58.142857142857146</v>
      </c>
      <c r="I461" s="45">
        <f t="shared" si="183"/>
        <v>58.142857142857146</v>
      </c>
      <c r="J461" s="45">
        <f t="shared" si="183"/>
        <v>71.857142857142861</v>
      </c>
      <c r="K461" s="45">
        <f t="shared" si="183"/>
        <v>68.835714285714289</v>
      </c>
      <c r="L461" s="45">
        <f t="shared" si="183"/>
        <v>69.05714285714285</v>
      </c>
      <c r="M461" s="45">
        <f t="shared" si="183"/>
        <v>69.457142857142856</v>
      </c>
      <c r="N461" s="45">
        <f t="shared" si="183"/>
        <v>69.857142857142861</v>
      </c>
      <c r="O461" s="45">
        <f t="shared" si="183"/>
        <v>70.257142857142853</v>
      </c>
      <c r="P461" s="45">
        <f t="shared" si="183"/>
        <v>67.499999999999986</v>
      </c>
      <c r="Q461" s="45">
        <f t="shared" si="183"/>
        <v>46.157142857142844</v>
      </c>
      <c r="R461" s="45">
        <f t="shared" si="183"/>
        <v>46.671428571428557</v>
      </c>
      <c r="S461" s="45">
        <f t="shared" si="183"/>
        <v>37.649999999999984</v>
      </c>
      <c r="T461" s="45">
        <f t="shared" si="183"/>
        <v>5.9142857142857128</v>
      </c>
      <c r="U461" s="45">
        <f t="shared" si="183"/>
        <v>0</v>
      </c>
      <c r="V461" s="45">
        <f t="shared" si="183"/>
        <v>0</v>
      </c>
      <c r="W461" s="45">
        <f t="shared" si="183"/>
        <v>0</v>
      </c>
      <c r="X461" s="45">
        <f t="shared" si="183"/>
        <v>0</v>
      </c>
      <c r="Y461" s="45">
        <f t="shared" si="183"/>
        <v>0</v>
      </c>
      <c r="Z461" s="45">
        <f t="shared" si="183"/>
        <v>0</v>
      </c>
      <c r="AA461" s="45">
        <f t="shared" si="183"/>
        <v>0</v>
      </c>
      <c r="AB461" s="45">
        <f t="shared" si="183"/>
        <v>0</v>
      </c>
      <c r="AC461" s="45">
        <f t="shared" si="183"/>
        <v>0</v>
      </c>
      <c r="AD461" s="45">
        <f t="shared" si="183"/>
        <v>0</v>
      </c>
    </row>
    <row r="462" spans="1:30" s="65" customFormat="1" outlineLevel="1">
      <c r="A462" s="98"/>
      <c r="B462" s="96"/>
      <c r="C462" s="99"/>
      <c r="D462" s="54"/>
      <c r="E462" s="54"/>
      <c r="F462" s="54"/>
      <c r="G462" s="54"/>
      <c r="H462" s="54"/>
      <c r="I462" s="54"/>
      <c r="J462" s="54"/>
      <c r="K462" s="54"/>
      <c r="L462" s="54"/>
      <c r="M462" s="54"/>
      <c r="N462" s="54"/>
      <c r="O462" s="54"/>
      <c r="P462" s="54"/>
      <c r="Q462" s="54"/>
      <c r="R462" s="54"/>
      <c r="S462" s="54"/>
      <c r="T462" s="54"/>
      <c r="U462" s="54"/>
      <c r="V462" s="54"/>
      <c r="W462" s="54"/>
      <c r="X462" s="54"/>
      <c r="Y462" s="54"/>
      <c r="Z462" s="54"/>
      <c r="AA462" s="54"/>
      <c r="AB462" s="54"/>
      <c r="AC462" s="54"/>
      <c r="AD462" s="54"/>
    </row>
    <row r="463" spans="1:30" s="8" customFormat="1" ht="15.5" outlineLevel="1">
      <c r="A463" s="242" t="str">
        <f>'Expected NPV &amp; Common Data'!A$36</f>
        <v>Calendar Year --&gt;</v>
      </c>
      <c r="B463" s="243" t="str">
        <f>'Expected NPV &amp; Common Data'!B$36</f>
        <v>units</v>
      </c>
      <c r="C463" s="244" t="str">
        <f>'Expected NPV &amp; Common Data'!C$36</f>
        <v>Total</v>
      </c>
      <c r="D463" s="245">
        <f>'Expected NPV &amp; Common Data'!D$36</f>
        <v>2027</v>
      </c>
      <c r="E463" s="245">
        <f>'Expected NPV &amp; Common Data'!E$36</f>
        <v>2028</v>
      </c>
      <c r="F463" s="245">
        <f>'Expected NPV &amp; Common Data'!F$36</f>
        <v>2029</v>
      </c>
      <c r="G463" s="245">
        <f>'Expected NPV &amp; Common Data'!G$36</f>
        <v>2030</v>
      </c>
      <c r="H463" s="245">
        <f>'Expected NPV &amp; Common Data'!H$36</f>
        <v>2031</v>
      </c>
      <c r="I463" s="245">
        <f>'Expected NPV &amp; Common Data'!I$36</f>
        <v>2032</v>
      </c>
      <c r="J463" s="245">
        <f>'Expected NPV &amp; Common Data'!J$36</f>
        <v>2033</v>
      </c>
      <c r="K463" s="245">
        <f>'Expected NPV &amp; Common Data'!K$36</f>
        <v>2034</v>
      </c>
      <c r="L463" s="245">
        <f>'Expected NPV &amp; Common Data'!L$36</f>
        <v>2035</v>
      </c>
      <c r="M463" s="245">
        <f>'Expected NPV &amp; Common Data'!M$36</f>
        <v>2036</v>
      </c>
      <c r="N463" s="245">
        <f>'Expected NPV &amp; Common Data'!N$36</f>
        <v>2037</v>
      </c>
      <c r="O463" s="245">
        <f>'Expected NPV &amp; Common Data'!O$36</f>
        <v>2038</v>
      </c>
      <c r="P463" s="245">
        <f>'Expected NPV &amp; Common Data'!P$36</f>
        <v>2039</v>
      </c>
      <c r="Q463" s="245">
        <f>'Expected NPV &amp; Common Data'!Q$36</f>
        <v>2040</v>
      </c>
      <c r="R463" s="245">
        <f>'Expected NPV &amp; Common Data'!R$36</f>
        <v>2041</v>
      </c>
      <c r="S463" s="245">
        <f>'Expected NPV &amp; Common Data'!S$36</f>
        <v>2042</v>
      </c>
      <c r="T463" s="245">
        <f>'Expected NPV &amp; Common Data'!T$36</f>
        <v>2043</v>
      </c>
      <c r="U463" s="245">
        <f>'Expected NPV &amp; Common Data'!U$36</f>
        <v>2044</v>
      </c>
      <c r="V463" s="245">
        <f>'Expected NPV &amp; Common Data'!V$36</f>
        <v>2045</v>
      </c>
      <c r="W463" s="245">
        <f>'Expected NPV &amp; Common Data'!W$36</f>
        <v>2046</v>
      </c>
      <c r="X463" s="245">
        <f>'Expected NPV &amp; Common Data'!X$36</f>
        <v>2047</v>
      </c>
      <c r="Y463" s="245">
        <f>'Expected NPV &amp; Common Data'!Y$36</f>
        <v>2048</v>
      </c>
      <c r="Z463" s="245">
        <f>'Expected NPV &amp; Common Data'!Z$36</f>
        <v>2049</v>
      </c>
      <c r="AA463" s="245">
        <f>'Expected NPV &amp; Common Data'!AA$36</f>
        <v>2050</v>
      </c>
      <c r="AB463" s="245">
        <f>'Expected NPV &amp; Common Data'!AB$36</f>
        <v>2051</v>
      </c>
      <c r="AC463" s="245">
        <f>'Expected NPV &amp; Common Data'!AC$36</f>
        <v>2052</v>
      </c>
      <c r="AD463" s="245">
        <f>'Expected NPV &amp; Common Data'!AD$36</f>
        <v>2053</v>
      </c>
    </row>
    <row r="464" spans="1:30" ht="54" customHeight="1">
      <c r="A464" s="23" t="s">
        <v>30</v>
      </c>
      <c r="D464" s="15"/>
      <c r="E464" s="15"/>
      <c r="F464" s="15"/>
      <c r="G464" s="15"/>
      <c r="H464" s="15"/>
      <c r="I464" s="15"/>
      <c r="J464" s="15"/>
      <c r="K464" s="15"/>
      <c r="L464" s="15"/>
      <c r="M464" s="15"/>
      <c r="N464" s="15"/>
      <c r="O464" s="15"/>
      <c r="P464" s="15"/>
      <c r="Q464" s="15"/>
      <c r="R464" s="15"/>
      <c r="S464" s="15"/>
      <c r="T464" s="15"/>
      <c r="U464" s="15"/>
      <c r="V464" s="15"/>
      <c r="W464" s="15"/>
      <c r="X464" s="15"/>
      <c r="Y464" s="15"/>
      <c r="Z464" s="15"/>
      <c r="AA464" s="15"/>
      <c r="AB464" s="15"/>
      <c r="AC464" s="15"/>
      <c r="AD464" s="15"/>
    </row>
    <row r="465" spans="1:30" s="45" customFormat="1" outlineLevel="1">
      <c r="A465" s="45" t="str">
        <f>A154</f>
        <v>ore feed to processing - aggregate</v>
      </c>
      <c r="B465" s="45" t="str">
        <f>B154</f>
        <v>millions dry tonnes</v>
      </c>
      <c r="C465" s="42">
        <f>SUM(D465:AD465)</f>
        <v>103</v>
      </c>
      <c r="D465" s="42">
        <f t="shared" ref="D465:AD465" si="184">D154</f>
        <v>0</v>
      </c>
      <c r="E465" s="42">
        <f t="shared" si="184"/>
        <v>0</v>
      </c>
      <c r="F465" s="42">
        <f t="shared" si="184"/>
        <v>4.1923076923076925</v>
      </c>
      <c r="G465" s="42">
        <f t="shared" si="184"/>
        <v>7</v>
      </c>
      <c r="H465" s="42">
        <f t="shared" si="184"/>
        <v>7</v>
      </c>
      <c r="I465" s="42">
        <f t="shared" si="184"/>
        <v>7</v>
      </c>
      <c r="J465" s="42">
        <f t="shared" si="184"/>
        <v>7.3461538461538458</v>
      </c>
      <c r="K465" s="42">
        <f t="shared" si="184"/>
        <v>6.6538461538461542</v>
      </c>
      <c r="L465" s="42">
        <f t="shared" si="184"/>
        <v>7</v>
      </c>
      <c r="M465" s="42">
        <f t="shared" si="184"/>
        <v>7</v>
      </c>
      <c r="N465" s="42">
        <f t="shared" si="184"/>
        <v>7</v>
      </c>
      <c r="O465" s="42">
        <f t="shared" si="184"/>
        <v>7</v>
      </c>
      <c r="P465" s="42">
        <f t="shared" si="184"/>
        <v>7</v>
      </c>
      <c r="Q465" s="42">
        <f t="shared" si="184"/>
        <v>7</v>
      </c>
      <c r="R465" s="42">
        <f t="shared" si="184"/>
        <v>7</v>
      </c>
      <c r="S465" s="42">
        <f t="shared" si="184"/>
        <v>7</v>
      </c>
      <c r="T465" s="42">
        <f t="shared" si="184"/>
        <v>7.8076923076923075</v>
      </c>
      <c r="U465" s="42">
        <f t="shared" si="184"/>
        <v>0</v>
      </c>
      <c r="V465" s="42">
        <f t="shared" si="184"/>
        <v>0</v>
      </c>
      <c r="W465" s="42">
        <f t="shared" si="184"/>
        <v>0</v>
      </c>
      <c r="X465" s="42">
        <f t="shared" si="184"/>
        <v>0</v>
      </c>
      <c r="Y465" s="42">
        <f t="shared" si="184"/>
        <v>0</v>
      </c>
      <c r="Z465" s="42">
        <f t="shared" si="184"/>
        <v>0</v>
      </c>
      <c r="AA465" s="42">
        <f t="shared" si="184"/>
        <v>0</v>
      </c>
      <c r="AB465" s="42">
        <f t="shared" si="184"/>
        <v>0</v>
      </c>
      <c r="AC465" s="42">
        <f t="shared" si="184"/>
        <v>0</v>
      </c>
      <c r="AD465" s="42">
        <f t="shared" si="184"/>
        <v>0</v>
      </c>
    </row>
    <row r="466" spans="1:30" s="8" customFormat="1" ht="15.5" outlineLevel="1">
      <c r="A466" s="97" t="s">
        <v>330</v>
      </c>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row>
    <row r="467" spans="1:30" s="62" customFormat="1" outlineLevel="1">
      <c r="A467" s="13" t="s">
        <v>559</v>
      </c>
      <c r="B467" s="60"/>
      <c r="C467" s="42"/>
      <c r="D467" s="61"/>
      <c r="E467" s="61"/>
      <c r="F467" s="61"/>
      <c r="G467" s="61"/>
      <c r="H467" s="61"/>
      <c r="I467" s="61"/>
      <c r="J467" s="61"/>
      <c r="K467" s="61"/>
      <c r="L467" s="61"/>
      <c r="M467" s="61"/>
      <c r="N467" s="61"/>
      <c r="O467" s="61"/>
      <c r="P467" s="61"/>
      <c r="Q467" s="61"/>
      <c r="R467" s="61"/>
      <c r="S467" s="61"/>
      <c r="T467" s="61"/>
      <c r="U467" s="61"/>
      <c r="V467" s="61"/>
      <c r="W467" s="61"/>
      <c r="X467" s="61"/>
      <c r="Y467" s="61"/>
      <c r="Z467" s="61"/>
      <c r="AA467" s="61"/>
      <c r="AB467" s="61"/>
      <c r="AC467" s="61"/>
      <c r="AD467" s="61"/>
    </row>
    <row r="468" spans="1:30" s="62" customFormat="1" ht="15.5" outlineLevel="1">
      <c r="A468" s="145" t="s">
        <v>329</v>
      </c>
      <c r="B468" s="114"/>
      <c r="C468" s="40"/>
      <c r="D468" s="115"/>
      <c r="E468" s="115"/>
      <c r="F468" s="115"/>
      <c r="G468" s="61"/>
      <c r="H468" s="61"/>
      <c r="I468" s="61"/>
      <c r="J468" s="61"/>
      <c r="K468" s="61"/>
      <c r="L468" s="61"/>
      <c r="M468" s="61"/>
      <c r="N468" s="61"/>
      <c r="O468" s="61"/>
      <c r="P468" s="61"/>
      <c r="Q468" s="61"/>
      <c r="R468" s="61"/>
      <c r="S468" s="61"/>
      <c r="T468" s="61"/>
      <c r="U468" s="61"/>
      <c r="V468" s="61"/>
      <c r="W468" s="61"/>
      <c r="X468" s="61"/>
      <c r="Y468" s="61"/>
      <c r="Z468" s="61"/>
      <c r="AA468" s="61"/>
      <c r="AB468" s="61"/>
      <c r="AC468" s="61"/>
      <c r="AD468" s="61"/>
    </row>
    <row r="469" spans="1:30" s="62" customFormat="1" outlineLevel="1">
      <c r="A469" s="214" t="s">
        <v>307</v>
      </c>
      <c r="B469" s="214" t="s">
        <v>305</v>
      </c>
      <c r="C469" s="42"/>
      <c r="D469" s="324">
        <v>2.5</v>
      </c>
      <c r="E469" s="288">
        <f t="shared" ref="E469:AD469" si="185">D469</f>
        <v>2.5</v>
      </c>
      <c r="F469" s="288">
        <f t="shared" si="185"/>
        <v>2.5</v>
      </c>
      <c r="G469" s="288">
        <f t="shared" si="185"/>
        <v>2.5</v>
      </c>
      <c r="H469" s="288">
        <f t="shared" si="185"/>
        <v>2.5</v>
      </c>
      <c r="I469" s="288">
        <f t="shared" si="185"/>
        <v>2.5</v>
      </c>
      <c r="J469" s="288">
        <f t="shared" si="185"/>
        <v>2.5</v>
      </c>
      <c r="K469" s="288">
        <f t="shared" si="185"/>
        <v>2.5</v>
      </c>
      <c r="L469" s="288">
        <f t="shared" si="185"/>
        <v>2.5</v>
      </c>
      <c r="M469" s="288">
        <f t="shared" si="185"/>
        <v>2.5</v>
      </c>
      <c r="N469" s="288">
        <f t="shared" si="185"/>
        <v>2.5</v>
      </c>
      <c r="O469" s="288">
        <f t="shared" si="185"/>
        <v>2.5</v>
      </c>
      <c r="P469" s="288">
        <f t="shared" si="185"/>
        <v>2.5</v>
      </c>
      <c r="Q469" s="288">
        <f t="shared" si="185"/>
        <v>2.5</v>
      </c>
      <c r="R469" s="288">
        <f t="shared" si="185"/>
        <v>2.5</v>
      </c>
      <c r="S469" s="288">
        <f t="shared" si="185"/>
        <v>2.5</v>
      </c>
      <c r="T469" s="288">
        <f t="shared" si="185"/>
        <v>2.5</v>
      </c>
      <c r="U469" s="288">
        <f t="shared" si="185"/>
        <v>2.5</v>
      </c>
      <c r="V469" s="288">
        <f t="shared" si="185"/>
        <v>2.5</v>
      </c>
      <c r="W469" s="288">
        <f t="shared" si="185"/>
        <v>2.5</v>
      </c>
      <c r="X469" s="288">
        <f t="shared" si="185"/>
        <v>2.5</v>
      </c>
      <c r="Y469" s="288">
        <f t="shared" si="185"/>
        <v>2.5</v>
      </c>
      <c r="Z469" s="288">
        <f t="shared" si="185"/>
        <v>2.5</v>
      </c>
      <c r="AA469" s="288">
        <f t="shared" si="185"/>
        <v>2.5</v>
      </c>
      <c r="AB469" s="288">
        <f t="shared" si="185"/>
        <v>2.5</v>
      </c>
      <c r="AC469" s="288">
        <f t="shared" si="185"/>
        <v>2.5</v>
      </c>
      <c r="AD469" s="288">
        <f t="shared" si="185"/>
        <v>2.5</v>
      </c>
    </row>
    <row r="470" spans="1:30" s="62" customFormat="1" outlineLevel="1">
      <c r="A470" s="41"/>
      <c r="B470" s="60"/>
      <c r="C470" s="42"/>
      <c r="D470" s="61"/>
      <c r="E470" s="61"/>
      <c r="F470" s="61"/>
      <c r="G470" s="61"/>
      <c r="H470" s="61"/>
      <c r="I470" s="61"/>
      <c r="J470" s="61"/>
      <c r="K470" s="61"/>
      <c r="L470" s="61"/>
      <c r="M470" s="61"/>
      <c r="N470" s="61"/>
      <c r="O470" s="61"/>
      <c r="P470" s="61"/>
      <c r="Q470" s="61"/>
      <c r="R470" s="61"/>
      <c r="S470" s="61"/>
      <c r="T470" s="61"/>
      <c r="U470" s="61"/>
      <c r="V470" s="61"/>
      <c r="W470" s="61"/>
      <c r="X470" s="61"/>
      <c r="Y470" s="61"/>
      <c r="Z470" s="61"/>
      <c r="AA470" s="61"/>
      <c r="AB470" s="61"/>
      <c r="AC470" s="61"/>
      <c r="AD470" s="61"/>
    </row>
    <row r="471" spans="1:30" s="62" customFormat="1" outlineLevel="1">
      <c r="A471" s="214" t="s">
        <v>308</v>
      </c>
      <c r="B471" s="214" t="s">
        <v>309</v>
      </c>
      <c r="C471" s="42"/>
      <c r="D471" s="324">
        <v>1.3</v>
      </c>
      <c r="E471" s="288">
        <f t="shared" ref="E471:AD472" si="186">D471</f>
        <v>1.3</v>
      </c>
      <c r="F471" s="288">
        <f t="shared" si="186"/>
        <v>1.3</v>
      </c>
      <c r="G471" s="288">
        <f t="shared" si="186"/>
        <v>1.3</v>
      </c>
      <c r="H471" s="288">
        <f t="shared" si="186"/>
        <v>1.3</v>
      </c>
      <c r="I471" s="288">
        <f t="shared" si="186"/>
        <v>1.3</v>
      </c>
      <c r="J471" s="288">
        <f t="shared" si="186"/>
        <v>1.3</v>
      </c>
      <c r="K471" s="288">
        <f t="shared" si="186"/>
        <v>1.3</v>
      </c>
      <c r="L471" s="288">
        <f t="shared" si="186"/>
        <v>1.3</v>
      </c>
      <c r="M471" s="288">
        <f t="shared" si="186"/>
        <v>1.3</v>
      </c>
      <c r="N471" s="288">
        <f t="shared" si="186"/>
        <v>1.3</v>
      </c>
      <c r="O471" s="288">
        <f t="shared" si="186"/>
        <v>1.3</v>
      </c>
      <c r="P471" s="288">
        <f t="shared" si="186"/>
        <v>1.3</v>
      </c>
      <c r="Q471" s="288">
        <f t="shared" si="186"/>
        <v>1.3</v>
      </c>
      <c r="R471" s="288">
        <f t="shared" si="186"/>
        <v>1.3</v>
      </c>
      <c r="S471" s="288">
        <f t="shared" si="186"/>
        <v>1.3</v>
      </c>
      <c r="T471" s="288">
        <f t="shared" si="186"/>
        <v>1.3</v>
      </c>
      <c r="U471" s="288">
        <f t="shared" si="186"/>
        <v>1.3</v>
      </c>
      <c r="V471" s="288">
        <f t="shared" si="186"/>
        <v>1.3</v>
      </c>
      <c r="W471" s="288">
        <f t="shared" si="186"/>
        <v>1.3</v>
      </c>
      <c r="X471" s="288">
        <f t="shared" si="186"/>
        <v>1.3</v>
      </c>
      <c r="Y471" s="288">
        <f t="shared" si="186"/>
        <v>1.3</v>
      </c>
      <c r="Z471" s="288">
        <f t="shared" si="186"/>
        <v>1.3</v>
      </c>
      <c r="AA471" s="288">
        <f t="shared" si="186"/>
        <v>1.3</v>
      </c>
      <c r="AB471" s="288">
        <f t="shared" si="186"/>
        <v>1.3</v>
      </c>
      <c r="AC471" s="288">
        <f t="shared" si="186"/>
        <v>1.3</v>
      </c>
      <c r="AD471" s="288">
        <f t="shared" si="186"/>
        <v>1.3</v>
      </c>
    </row>
    <row r="472" spans="1:30" s="62" customFormat="1" outlineLevel="1">
      <c r="A472" s="214" t="s">
        <v>310</v>
      </c>
      <c r="B472" s="214" t="s">
        <v>322</v>
      </c>
      <c r="C472" s="42"/>
      <c r="D472" s="219">
        <v>1080</v>
      </c>
      <c r="E472" s="219">
        <f t="shared" si="186"/>
        <v>1080</v>
      </c>
      <c r="F472" s="219">
        <f t="shared" si="186"/>
        <v>1080</v>
      </c>
      <c r="G472" s="219">
        <f t="shared" si="186"/>
        <v>1080</v>
      </c>
      <c r="H472" s="219">
        <f t="shared" si="186"/>
        <v>1080</v>
      </c>
      <c r="I472" s="219">
        <f t="shared" si="186"/>
        <v>1080</v>
      </c>
      <c r="J472" s="219">
        <f t="shared" si="186"/>
        <v>1080</v>
      </c>
      <c r="K472" s="219">
        <f t="shared" si="186"/>
        <v>1080</v>
      </c>
      <c r="L472" s="219">
        <f t="shared" si="186"/>
        <v>1080</v>
      </c>
      <c r="M472" s="219">
        <f t="shared" si="186"/>
        <v>1080</v>
      </c>
      <c r="N472" s="219">
        <f t="shared" si="186"/>
        <v>1080</v>
      </c>
      <c r="O472" s="219">
        <f t="shared" si="186"/>
        <v>1080</v>
      </c>
      <c r="P472" s="219">
        <f t="shared" si="186"/>
        <v>1080</v>
      </c>
      <c r="Q472" s="219">
        <f t="shared" si="186"/>
        <v>1080</v>
      </c>
      <c r="R472" s="219">
        <f t="shared" si="186"/>
        <v>1080</v>
      </c>
      <c r="S472" s="219">
        <f t="shared" si="186"/>
        <v>1080</v>
      </c>
      <c r="T472" s="219">
        <f t="shared" si="186"/>
        <v>1080</v>
      </c>
      <c r="U472" s="219">
        <f t="shared" si="186"/>
        <v>1080</v>
      </c>
      <c r="V472" s="219">
        <f t="shared" si="186"/>
        <v>1080</v>
      </c>
      <c r="W472" s="219">
        <f t="shared" si="186"/>
        <v>1080</v>
      </c>
      <c r="X472" s="219">
        <f t="shared" si="186"/>
        <v>1080</v>
      </c>
      <c r="Y472" s="219">
        <f t="shared" si="186"/>
        <v>1080</v>
      </c>
      <c r="Z472" s="219">
        <f t="shared" si="186"/>
        <v>1080</v>
      </c>
      <c r="AA472" s="219">
        <f t="shared" si="186"/>
        <v>1080</v>
      </c>
      <c r="AB472" s="219">
        <f t="shared" si="186"/>
        <v>1080</v>
      </c>
      <c r="AC472" s="219">
        <f t="shared" si="186"/>
        <v>1080</v>
      </c>
      <c r="AD472" s="219">
        <f t="shared" si="186"/>
        <v>1080</v>
      </c>
    </row>
    <row r="473" spans="1:30" s="62" customFormat="1" outlineLevel="1">
      <c r="A473" s="45" t="s">
        <v>311</v>
      </c>
      <c r="B473" s="13" t="s">
        <v>406</v>
      </c>
      <c r="C473" s="42"/>
      <c r="D473" s="57">
        <f t="shared" ref="D473:AD473" si="187">D471*D472/1000</f>
        <v>1.4039999999999999</v>
      </c>
      <c r="E473" s="57">
        <f t="shared" si="187"/>
        <v>1.4039999999999999</v>
      </c>
      <c r="F473" s="57">
        <f t="shared" si="187"/>
        <v>1.4039999999999999</v>
      </c>
      <c r="G473" s="57">
        <f t="shared" si="187"/>
        <v>1.4039999999999999</v>
      </c>
      <c r="H473" s="57">
        <f t="shared" si="187"/>
        <v>1.4039999999999999</v>
      </c>
      <c r="I473" s="57">
        <f t="shared" si="187"/>
        <v>1.4039999999999999</v>
      </c>
      <c r="J473" s="57">
        <f t="shared" si="187"/>
        <v>1.4039999999999999</v>
      </c>
      <c r="K473" s="57">
        <f t="shared" si="187"/>
        <v>1.4039999999999999</v>
      </c>
      <c r="L473" s="57">
        <f t="shared" si="187"/>
        <v>1.4039999999999999</v>
      </c>
      <c r="M473" s="57">
        <f t="shared" si="187"/>
        <v>1.4039999999999999</v>
      </c>
      <c r="N473" s="57">
        <f t="shared" si="187"/>
        <v>1.4039999999999999</v>
      </c>
      <c r="O473" s="57">
        <f t="shared" si="187"/>
        <v>1.4039999999999999</v>
      </c>
      <c r="P473" s="57">
        <f t="shared" si="187"/>
        <v>1.4039999999999999</v>
      </c>
      <c r="Q473" s="57">
        <f t="shared" si="187"/>
        <v>1.4039999999999999</v>
      </c>
      <c r="R473" s="57">
        <f t="shared" si="187"/>
        <v>1.4039999999999999</v>
      </c>
      <c r="S473" s="57">
        <f t="shared" si="187"/>
        <v>1.4039999999999999</v>
      </c>
      <c r="T473" s="57">
        <f t="shared" si="187"/>
        <v>1.4039999999999999</v>
      </c>
      <c r="U473" s="57">
        <f t="shared" si="187"/>
        <v>1.4039999999999999</v>
      </c>
      <c r="V473" s="57">
        <f t="shared" si="187"/>
        <v>1.4039999999999999</v>
      </c>
      <c r="W473" s="57">
        <f t="shared" si="187"/>
        <v>1.4039999999999999</v>
      </c>
      <c r="X473" s="57">
        <f t="shared" si="187"/>
        <v>1.4039999999999999</v>
      </c>
      <c r="Y473" s="57">
        <f t="shared" si="187"/>
        <v>1.4039999999999999</v>
      </c>
      <c r="Z473" s="57">
        <f t="shared" si="187"/>
        <v>1.4039999999999999</v>
      </c>
      <c r="AA473" s="57">
        <f t="shared" si="187"/>
        <v>1.4039999999999999</v>
      </c>
      <c r="AB473" s="57">
        <f t="shared" si="187"/>
        <v>1.4039999999999999</v>
      </c>
      <c r="AC473" s="57">
        <f t="shared" si="187"/>
        <v>1.4039999999999999</v>
      </c>
      <c r="AD473" s="57">
        <f t="shared" si="187"/>
        <v>1.4039999999999999</v>
      </c>
    </row>
    <row r="474" spans="1:30" s="62" customFormat="1" outlineLevel="1">
      <c r="A474" s="41"/>
      <c r="B474" s="60"/>
      <c r="C474" s="42"/>
      <c r="D474" s="61"/>
      <c r="E474" s="61"/>
      <c r="F474" s="61"/>
      <c r="G474" s="61"/>
      <c r="H474" s="61"/>
      <c r="I474" s="61"/>
      <c r="J474" s="61"/>
      <c r="K474" s="61"/>
      <c r="L474" s="61"/>
      <c r="M474" s="61"/>
      <c r="N474" s="61"/>
      <c r="O474" s="61"/>
      <c r="P474" s="61"/>
      <c r="Q474" s="61"/>
      <c r="R474" s="61"/>
      <c r="S474" s="61"/>
      <c r="T474" s="61"/>
      <c r="U474" s="61"/>
      <c r="V474" s="61"/>
      <c r="W474" s="61"/>
      <c r="X474" s="61"/>
      <c r="Y474" s="61"/>
      <c r="Z474" s="61"/>
      <c r="AA474" s="61"/>
      <c r="AB474" s="61"/>
      <c r="AC474" s="61"/>
      <c r="AD474" s="61"/>
    </row>
    <row r="475" spans="1:30" s="62" customFormat="1" outlineLevel="1">
      <c r="A475" s="214" t="s">
        <v>312</v>
      </c>
      <c r="B475" s="214" t="s">
        <v>313</v>
      </c>
      <c r="C475" s="42"/>
      <c r="D475" s="288">
        <v>0.7</v>
      </c>
      <c r="E475" s="288">
        <f t="shared" ref="E475:AD476" si="188">D475</f>
        <v>0.7</v>
      </c>
      <c r="F475" s="288">
        <f t="shared" si="188"/>
        <v>0.7</v>
      </c>
      <c r="G475" s="288">
        <f t="shared" si="188"/>
        <v>0.7</v>
      </c>
      <c r="H475" s="288">
        <f t="shared" si="188"/>
        <v>0.7</v>
      </c>
      <c r="I475" s="288">
        <f t="shared" si="188"/>
        <v>0.7</v>
      </c>
      <c r="J475" s="288">
        <f t="shared" si="188"/>
        <v>0.7</v>
      </c>
      <c r="K475" s="288">
        <f t="shared" si="188"/>
        <v>0.7</v>
      </c>
      <c r="L475" s="288">
        <f t="shared" si="188"/>
        <v>0.7</v>
      </c>
      <c r="M475" s="288">
        <f t="shared" si="188"/>
        <v>0.7</v>
      </c>
      <c r="N475" s="288">
        <f t="shared" si="188"/>
        <v>0.7</v>
      </c>
      <c r="O475" s="288">
        <f t="shared" si="188"/>
        <v>0.7</v>
      </c>
      <c r="P475" s="288">
        <f t="shared" si="188"/>
        <v>0.7</v>
      </c>
      <c r="Q475" s="288">
        <f t="shared" si="188"/>
        <v>0.7</v>
      </c>
      <c r="R475" s="288">
        <f t="shared" si="188"/>
        <v>0.7</v>
      </c>
      <c r="S475" s="288">
        <f t="shared" si="188"/>
        <v>0.7</v>
      </c>
      <c r="T475" s="288">
        <f t="shared" si="188"/>
        <v>0.7</v>
      </c>
      <c r="U475" s="288">
        <f t="shared" si="188"/>
        <v>0.7</v>
      </c>
      <c r="V475" s="288">
        <f t="shared" si="188"/>
        <v>0.7</v>
      </c>
      <c r="W475" s="288">
        <f t="shared" si="188"/>
        <v>0.7</v>
      </c>
      <c r="X475" s="288">
        <f t="shared" si="188"/>
        <v>0.7</v>
      </c>
      <c r="Y475" s="288">
        <f t="shared" si="188"/>
        <v>0.7</v>
      </c>
      <c r="Z475" s="288">
        <f t="shared" si="188"/>
        <v>0.7</v>
      </c>
      <c r="AA475" s="288">
        <f t="shared" si="188"/>
        <v>0.7</v>
      </c>
      <c r="AB475" s="288">
        <f t="shared" si="188"/>
        <v>0.7</v>
      </c>
      <c r="AC475" s="288">
        <f t="shared" si="188"/>
        <v>0.7</v>
      </c>
      <c r="AD475" s="288">
        <f t="shared" si="188"/>
        <v>0.7</v>
      </c>
    </row>
    <row r="476" spans="1:30" s="62" customFormat="1" outlineLevel="1">
      <c r="A476" s="214" t="s">
        <v>171</v>
      </c>
      <c r="B476" s="214" t="s">
        <v>323</v>
      </c>
      <c r="C476" s="42"/>
      <c r="D476" s="288">
        <v>0.3</v>
      </c>
      <c r="E476" s="288">
        <f t="shared" si="188"/>
        <v>0.3</v>
      </c>
      <c r="F476" s="288">
        <f t="shared" si="188"/>
        <v>0.3</v>
      </c>
      <c r="G476" s="288">
        <f t="shared" si="188"/>
        <v>0.3</v>
      </c>
      <c r="H476" s="288">
        <f t="shared" si="188"/>
        <v>0.3</v>
      </c>
      <c r="I476" s="288">
        <f t="shared" si="188"/>
        <v>0.3</v>
      </c>
      <c r="J476" s="288">
        <f t="shared" si="188"/>
        <v>0.3</v>
      </c>
      <c r="K476" s="288">
        <f t="shared" si="188"/>
        <v>0.3</v>
      </c>
      <c r="L476" s="288">
        <f t="shared" si="188"/>
        <v>0.3</v>
      </c>
      <c r="M476" s="288">
        <f t="shared" si="188"/>
        <v>0.3</v>
      </c>
      <c r="N476" s="288">
        <f t="shared" si="188"/>
        <v>0.3</v>
      </c>
      <c r="O476" s="288">
        <f t="shared" si="188"/>
        <v>0.3</v>
      </c>
      <c r="P476" s="288">
        <f t="shared" si="188"/>
        <v>0.3</v>
      </c>
      <c r="Q476" s="288">
        <f t="shared" si="188"/>
        <v>0.3</v>
      </c>
      <c r="R476" s="288">
        <f t="shared" si="188"/>
        <v>0.3</v>
      </c>
      <c r="S476" s="288">
        <f t="shared" si="188"/>
        <v>0.3</v>
      </c>
      <c r="T476" s="288">
        <f t="shared" si="188"/>
        <v>0.3</v>
      </c>
      <c r="U476" s="288">
        <f t="shared" si="188"/>
        <v>0.3</v>
      </c>
      <c r="V476" s="288">
        <f t="shared" si="188"/>
        <v>0.3</v>
      </c>
      <c r="W476" s="288">
        <f t="shared" si="188"/>
        <v>0.3</v>
      </c>
      <c r="X476" s="288">
        <f t="shared" si="188"/>
        <v>0.3</v>
      </c>
      <c r="Y476" s="288">
        <f t="shared" si="188"/>
        <v>0.3</v>
      </c>
      <c r="Z476" s="288">
        <f t="shared" si="188"/>
        <v>0.3</v>
      </c>
      <c r="AA476" s="288">
        <f t="shared" si="188"/>
        <v>0.3</v>
      </c>
      <c r="AB476" s="288">
        <f t="shared" si="188"/>
        <v>0.3</v>
      </c>
      <c r="AC476" s="288">
        <f t="shared" si="188"/>
        <v>0.3</v>
      </c>
      <c r="AD476" s="288">
        <f t="shared" si="188"/>
        <v>0.3</v>
      </c>
    </row>
    <row r="477" spans="1:30" s="62" customFormat="1" outlineLevel="1">
      <c r="A477" s="45" t="s">
        <v>324</v>
      </c>
      <c r="B477" s="13" t="s">
        <v>305</v>
      </c>
      <c r="C477" s="44"/>
      <c r="D477" s="57">
        <f t="shared" ref="D477:AD477" si="189">D475*D476</f>
        <v>0.21</v>
      </c>
      <c r="E477" s="57">
        <f t="shared" si="189"/>
        <v>0.21</v>
      </c>
      <c r="F477" s="57">
        <f t="shared" si="189"/>
        <v>0.21</v>
      </c>
      <c r="G477" s="57">
        <f t="shared" si="189"/>
        <v>0.21</v>
      </c>
      <c r="H477" s="57">
        <f t="shared" si="189"/>
        <v>0.21</v>
      </c>
      <c r="I477" s="57">
        <f t="shared" si="189"/>
        <v>0.21</v>
      </c>
      <c r="J477" s="57">
        <f t="shared" si="189"/>
        <v>0.21</v>
      </c>
      <c r="K477" s="57">
        <f t="shared" si="189"/>
        <v>0.21</v>
      </c>
      <c r="L477" s="57">
        <f t="shared" si="189"/>
        <v>0.21</v>
      </c>
      <c r="M477" s="57">
        <f t="shared" si="189"/>
        <v>0.21</v>
      </c>
      <c r="N477" s="57">
        <f t="shared" si="189"/>
        <v>0.21</v>
      </c>
      <c r="O477" s="57">
        <f t="shared" si="189"/>
        <v>0.21</v>
      </c>
      <c r="P477" s="57">
        <f t="shared" si="189"/>
        <v>0.21</v>
      </c>
      <c r="Q477" s="57">
        <f t="shared" si="189"/>
        <v>0.21</v>
      </c>
      <c r="R477" s="57">
        <f t="shared" si="189"/>
        <v>0.21</v>
      </c>
      <c r="S477" s="57">
        <f t="shared" si="189"/>
        <v>0.21</v>
      </c>
      <c r="T477" s="57">
        <f t="shared" si="189"/>
        <v>0.21</v>
      </c>
      <c r="U477" s="57">
        <f t="shared" si="189"/>
        <v>0.21</v>
      </c>
      <c r="V477" s="57">
        <f t="shared" si="189"/>
        <v>0.21</v>
      </c>
      <c r="W477" s="57">
        <f t="shared" si="189"/>
        <v>0.21</v>
      </c>
      <c r="X477" s="57">
        <f t="shared" si="189"/>
        <v>0.21</v>
      </c>
      <c r="Y477" s="57">
        <f t="shared" si="189"/>
        <v>0.21</v>
      </c>
      <c r="Z477" s="57">
        <f t="shared" si="189"/>
        <v>0.21</v>
      </c>
      <c r="AA477" s="57">
        <f t="shared" si="189"/>
        <v>0.21</v>
      </c>
      <c r="AB477" s="57">
        <f t="shared" si="189"/>
        <v>0.21</v>
      </c>
      <c r="AC477" s="57">
        <f t="shared" si="189"/>
        <v>0.21</v>
      </c>
      <c r="AD477" s="57">
        <f t="shared" si="189"/>
        <v>0.21</v>
      </c>
    </row>
    <row r="478" spans="1:30" s="62" customFormat="1" outlineLevel="1">
      <c r="A478" s="45"/>
      <c r="B478" s="13"/>
      <c r="C478" s="44"/>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row>
    <row r="479" spans="1:30" s="62" customFormat="1" outlineLevel="1">
      <c r="A479" s="45" t="s">
        <v>306</v>
      </c>
      <c r="B479" s="13" t="s">
        <v>305</v>
      </c>
      <c r="C479" s="44"/>
      <c r="D479" s="289">
        <f t="shared" ref="D479:AD479" si="190">D469+D473+D477</f>
        <v>4.1139999999999999</v>
      </c>
      <c r="E479" s="289">
        <f t="shared" si="190"/>
        <v>4.1139999999999999</v>
      </c>
      <c r="F479" s="289">
        <f t="shared" si="190"/>
        <v>4.1139999999999999</v>
      </c>
      <c r="G479" s="289">
        <f t="shared" si="190"/>
        <v>4.1139999999999999</v>
      </c>
      <c r="H479" s="289">
        <f t="shared" si="190"/>
        <v>4.1139999999999999</v>
      </c>
      <c r="I479" s="289">
        <f t="shared" si="190"/>
        <v>4.1139999999999999</v>
      </c>
      <c r="J479" s="289">
        <f t="shared" si="190"/>
        <v>4.1139999999999999</v>
      </c>
      <c r="K479" s="289">
        <f t="shared" si="190"/>
        <v>4.1139999999999999</v>
      </c>
      <c r="L479" s="289">
        <f t="shared" si="190"/>
        <v>4.1139999999999999</v>
      </c>
      <c r="M479" s="289">
        <f t="shared" si="190"/>
        <v>4.1139999999999999</v>
      </c>
      <c r="N479" s="289">
        <f t="shared" si="190"/>
        <v>4.1139999999999999</v>
      </c>
      <c r="O479" s="289">
        <f t="shared" si="190"/>
        <v>4.1139999999999999</v>
      </c>
      <c r="P479" s="289">
        <f t="shared" si="190"/>
        <v>4.1139999999999999</v>
      </c>
      <c r="Q479" s="289">
        <f t="shared" si="190"/>
        <v>4.1139999999999999</v>
      </c>
      <c r="R479" s="289">
        <f t="shared" si="190"/>
        <v>4.1139999999999999</v>
      </c>
      <c r="S479" s="289">
        <f t="shared" si="190"/>
        <v>4.1139999999999999</v>
      </c>
      <c r="T479" s="289">
        <f t="shared" si="190"/>
        <v>4.1139999999999999</v>
      </c>
      <c r="U479" s="289">
        <f t="shared" si="190"/>
        <v>4.1139999999999999</v>
      </c>
      <c r="V479" s="289">
        <f t="shared" si="190"/>
        <v>4.1139999999999999</v>
      </c>
      <c r="W479" s="289">
        <f t="shared" si="190"/>
        <v>4.1139999999999999</v>
      </c>
      <c r="X479" s="289">
        <f t="shared" si="190"/>
        <v>4.1139999999999999</v>
      </c>
      <c r="Y479" s="289">
        <f t="shared" si="190"/>
        <v>4.1139999999999999</v>
      </c>
      <c r="Z479" s="289">
        <f t="shared" si="190"/>
        <v>4.1139999999999999</v>
      </c>
      <c r="AA479" s="289">
        <f t="shared" si="190"/>
        <v>4.1139999999999999</v>
      </c>
      <c r="AB479" s="289">
        <f t="shared" si="190"/>
        <v>4.1139999999999999</v>
      </c>
      <c r="AC479" s="289">
        <f t="shared" si="190"/>
        <v>4.1139999999999999</v>
      </c>
      <c r="AD479" s="289">
        <f t="shared" si="190"/>
        <v>4.1139999999999999</v>
      </c>
    </row>
    <row r="480" spans="1:30" s="62" customFormat="1" outlineLevel="1">
      <c r="A480" s="45"/>
      <c r="B480" s="13"/>
      <c r="C480" s="44"/>
      <c r="D480" s="57"/>
      <c r="E480" s="57"/>
      <c r="F480" s="57"/>
      <c r="G480" s="61"/>
      <c r="H480" s="61"/>
      <c r="I480" s="61"/>
      <c r="J480" s="61"/>
      <c r="K480" s="61"/>
      <c r="L480" s="61"/>
      <c r="M480" s="61"/>
      <c r="N480" s="61"/>
      <c r="O480" s="61"/>
      <c r="P480" s="61"/>
      <c r="Q480" s="61"/>
      <c r="R480" s="61"/>
      <c r="S480" s="61"/>
      <c r="T480" s="61"/>
      <c r="U480" s="61"/>
      <c r="V480" s="61"/>
      <c r="W480" s="61"/>
      <c r="X480" s="61"/>
      <c r="Y480" s="61"/>
      <c r="Z480" s="61"/>
      <c r="AA480" s="61"/>
      <c r="AB480" s="61"/>
      <c r="AC480" s="61"/>
      <c r="AD480" s="61"/>
    </row>
    <row r="481" spans="1:30" s="62" customFormat="1" ht="15.5" outlineLevel="1">
      <c r="A481" s="145" t="s">
        <v>315</v>
      </c>
      <c r="B481" s="114"/>
      <c r="C481" s="40"/>
      <c r="D481" s="115"/>
      <c r="E481" s="115"/>
      <c r="F481" s="115"/>
      <c r="G481" s="61"/>
      <c r="H481" s="61"/>
      <c r="I481" s="61"/>
      <c r="J481" s="61"/>
      <c r="K481" s="61"/>
      <c r="L481" s="61"/>
      <c r="M481" s="61"/>
      <c r="N481" s="61"/>
      <c r="O481" s="61"/>
      <c r="P481" s="61"/>
      <c r="Q481" s="61"/>
      <c r="R481" s="61"/>
      <c r="S481" s="61"/>
      <c r="T481" s="61"/>
      <c r="U481" s="61"/>
      <c r="V481" s="61"/>
      <c r="W481" s="61"/>
      <c r="X481" s="61"/>
      <c r="Y481" s="61"/>
      <c r="Z481" s="61"/>
      <c r="AA481" s="61"/>
      <c r="AB481" s="61"/>
      <c r="AC481" s="61"/>
      <c r="AD481" s="61"/>
    </row>
    <row r="482" spans="1:30" s="62" customFormat="1" outlineLevel="1">
      <c r="A482" s="214" t="s">
        <v>316</v>
      </c>
      <c r="B482" s="214" t="s">
        <v>317</v>
      </c>
      <c r="C482" s="42"/>
      <c r="D482" s="325">
        <v>42</v>
      </c>
      <c r="E482" s="219">
        <f t="shared" ref="E482:AD483" si="191">D482</f>
        <v>42</v>
      </c>
      <c r="F482" s="219">
        <f t="shared" si="191"/>
        <v>42</v>
      </c>
      <c r="G482" s="219">
        <f t="shared" si="191"/>
        <v>42</v>
      </c>
      <c r="H482" s="219">
        <f t="shared" si="191"/>
        <v>42</v>
      </c>
      <c r="I482" s="219">
        <f t="shared" si="191"/>
        <v>42</v>
      </c>
      <c r="J482" s="219">
        <f t="shared" si="191"/>
        <v>42</v>
      </c>
      <c r="K482" s="219">
        <f t="shared" si="191"/>
        <v>42</v>
      </c>
      <c r="L482" s="219">
        <f t="shared" si="191"/>
        <v>42</v>
      </c>
      <c r="M482" s="219">
        <f t="shared" si="191"/>
        <v>42</v>
      </c>
      <c r="N482" s="219">
        <f t="shared" si="191"/>
        <v>42</v>
      </c>
      <c r="O482" s="219">
        <f t="shared" si="191"/>
        <v>42</v>
      </c>
      <c r="P482" s="219">
        <f t="shared" si="191"/>
        <v>42</v>
      </c>
      <c r="Q482" s="219">
        <f t="shared" si="191"/>
        <v>42</v>
      </c>
      <c r="R482" s="219">
        <f t="shared" si="191"/>
        <v>42</v>
      </c>
      <c r="S482" s="219">
        <f t="shared" si="191"/>
        <v>42</v>
      </c>
      <c r="T482" s="219">
        <f t="shared" si="191"/>
        <v>42</v>
      </c>
      <c r="U482" s="219">
        <f t="shared" si="191"/>
        <v>42</v>
      </c>
      <c r="V482" s="219">
        <f t="shared" si="191"/>
        <v>42</v>
      </c>
      <c r="W482" s="219">
        <f t="shared" si="191"/>
        <v>42</v>
      </c>
      <c r="X482" s="219">
        <f t="shared" si="191"/>
        <v>42</v>
      </c>
      <c r="Y482" s="219">
        <f t="shared" si="191"/>
        <v>42</v>
      </c>
      <c r="Z482" s="219">
        <f t="shared" si="191"/>
        <v>42</v>
      </c>
      <c r="AA482" s="219">
        <f t="shared" si="191"/>
        <v>42</v>
      </c>
      <c r="AB482" s="219">
        <f t="shared" si="191"/>
        <v>42</v>
      </c>
      <c r="AC482" s="219">
        <f t="shared" si="191"/>
        <v>42</v>
      </c>
      <c r="AD482" s="219">
        <f t="shared" si="191"/>
        <v>42</v>
      </c>
    </row>
    <row r="483" spans="1:30" s="62" customFormat="1" outlineLevel="1">
      <c r="A483" s="214" t="s">
        <v>170</v>
      </c>
      <c r="B483" s="214" t="s">
        <v>326</v>
      </c>
      <c r="C483" s="42"/>
      <c r="D483" s="288">
        <v>0.12</v>
      </c>
      <c r="E483" s="288">
        <f t="shared" si="191"/>
        <v>0.12</v>
      </c>
      <c r="F483" s="288">
        <f t="shared" si="191"/>
        <v>0.12</v>
      </c>
      <c r="G483" s="288">
        <f t="shared" si="191"/>
        <v>0.12</v>
      </c>
      <c r="H483" s="288">
        <f t="shared" si="191"/>
        <v>0.12</v>
      </c>
      <c r="I483" s="288">
        <f t="shared" si="191"/>
        <v>0.12</v>
      </c>
      <c r="J483" s="288">
        <f t="shared" si="191"/>
        <v>0.12</v>
      </c>
      <c r="K483" s="288">
        <f t="shared" si="191"/>
        <v>0.12</v>
      </c>
      <c r="L483" s="288">
        <f t="shared" si="191"/>
        <v>0.12</v>
      </c>
      <c r="M483" s="288">
        <f t="shared" si="191"/>
        <v>0.12</v>
      </c>
      <c r="N483" s="288">
        <f t="shared" si="191"/>
        <v>0.12</v>
      </c>
      <c r="O483" s="288">
        <f t="shared" si="191"/>
        <v>0.12</v>
      </c>
      <c r="P483" s="288">
        <f t="shared" si="191"/>
        <v>0.12</v>
      </c>
      <c r="Q483" s="288">
        <f t="shared" si="191"/>
        <v>0.12</v>
      </c>
      <c r="R483" s="288">
        <f t="shared" si="191"/>
        <v>0.12</v>
      </c>
      <c r="S483" s="288">
        <f t="shared" si="191"/>
        <v>0.12</v>
      </c>
      <c r="T483" s="288">
        <f t="shared" si="191"/>
        <v>0.12</v>
      </c>
      <c r="U483" s="288">
        <f t="shared" si="191"/>
        <v>0.12</v>
      </c>
      <c r="V483" s="288">
        <f t="shared" si="191"/>
        <v>0.12</v>
      </c>
      <c r="W483" s="288">
        <f t="shared" si="191"/>
        <v>0.12</v>
      </c>
      <c r="X483" s="288">
        <f t="shared" si="191"/>
        <v>0.12</v>
      </c>
      <c r="Y483" s="288">
        <f t="shared" si="191"/>
        <v>0.12</v>
      </c>
      <c r="Z483" s="288">
        <f t="shared" si="191"/>
        <v>0.12</v>
      </c>
      <c r="AA483" s="288">
        <f t="shared" si="191"/>
        <v>0.12</v>
      </c>
      <c r="AB483" s="288">
        <f t="shared" si="191"/>
        <v>0.12</v>
      </c>
      <c r="AC483" s="288">
        <f t="shared" si="191"/>
        <v>0.12</v>
      </c>
      <c r="AD483" s="288">
        <f t="shared" si="191"/>
        <v>0.12</v>
      </c>
    </row>
    <row r="484" spans="1:30" s="62" customFormat="1" outlineLevel="1">
      <c r="A484" s="45" t="s">
        <v>315</v>
      </c>
      <c r="B484" s="13" t="s">
        <v>305</v>
      </c>
      <c r="C484" s="42"/>
      <c r="D484" s="57">
        <f t="shared" ref="D484:AD484" si="192">D482*D483</f>
        <v>5.04</v>
      </c>
      <c r="E484" s="57">
        <f t="shared" si="192"/>
        <v>5.04</v>
      </c>
      <c r="F484" s="57">
        <f t="shared" si="192"/>
        <v>5.04</v>
      </c>
      <c r="G484" s="57">
        <f t="shared" si="192"/>
        <v>5.04</v>
      </c>
      <c r="H484" s="57">
        <f t="shared" si="192"/>
        <v>5.04</v>
      </c>
      <c r="I484" s="57">
        <f t="shared" si="192"/>
        <v>5.04</v>
      </c>
      <c r="J484" s="57">
        <f t="shared" si="192"/>
        <v>5.04</v>
      </c>
      <c r="K484" s="57">
        <f t="shared" si="192"/>
        <v>5.04</v>
      </c>
      <c r="L484" s="57">
        <f t="shared" si="192"/>
        <v>5.04</v>
      </c>
      <c r="M484" s="57">
        <f t="shared" si="192"/>
        <v>5.04</v>
      </c>
      <c r="N484" s="57">
        <f t="shared" si="192"/>
        <v>5.04</v>
      </c>
      <c r="O484" s="57">
        <f t="shared" si="192"/>
        <v>5.04</v>
      </c>
      <c r="P484" s="57">
        <f t="shared" si="192"/>
        <v>5.04</v>
      </c>
      <c r="Q484" s="57">
        <f t="shared" si="192"/>
        <v>5.04</v>
      </c>
      <c r="R484" s="57">
        <f t="shared" si="192"/>
        <v>5.04</v>
      </c>
      <c r="S484" s="57">
        <f t="shared" si="192"/>
        <v>5.04</v>
      </c>
      <c r="T484" s="57">
        <f t="shared" si="192"/>
        <v>5.04</v>
      </c>
      <c r="U484" s="57">
        <f t="shared" si="192"/>
        <v>5.04</v>
      </c>
      <c r="V484" s="57">
        <f t="shared" si="192"/>
        <v>5.04</v>
      </c>
      <c r="W484" s="57">
        <f t="shared" si="192"/>
        <v>5.04</v>
      </c>
      <c r="X484" s="57">
        <f t="shared" si="192"/>
        <v>5.04</v>
      </c>
      <c r="Y484" s="57">
        <f t="shared" si="192"/>
        <v>5.04</v>
      </c>
      <c r="Z484" s="57">
        <f t="shared" si="192"/>
        <v>5.04</v>
      </c>
      <c r="AA484" s="57">
        <f t="shared" si="192"/>
        <v>5.04</v>
      </c>
      <c r="AB484" s="57">
        <f t="shared" si="192"/>
        <v>5.04</v>
      </c>
      <c r="AC484" s="57">
        <f t="shared" si="192"/>
        <v>5.04</v>
      </c>
      <c r="AD484" s="57">
        <f t="shared" si="192"/>
        <v>5.04</v>
      </c>
    </row>
    <row r="485" spans="1:30" s="62" customFormat="1" outlineLevel="1">
      <c r="A485" s="45"/>
      <c r="B485" s="13"/>
      <c r="C485" s="44"/>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row>
    <row r="486" spans="1:30" s="62" customFormat="1" ht="15.5" outlineLevel="1">
      <c r="A486" s="145" t="s">
        <v>328</v>
      </c>
      <c r="B486" s="114"/>
      <c r="C486" s="40"/>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row>
    <row r="487" spans="1:30" s="62" customFormat="1" outlineLevel="1">
      <c r="A487" s="214" t="s">
        <v>325</v>
      </c>
      <c r="B487" s="214" t="s">
        <v>305</v>
      </c>
      <c r="C487" s="42"/>
      <c r="D487" s="288">
        <v>2</v>
      </c>
      <c r="E487" s="288">
        <f t="shared" ref="E487:AD487" si="193">D487</f>
        <v>2</v>
      </c>
      <c r="F487" s="288">
        <f t="shared" si="193"/>
        <v>2</v>
      </c>
      <c r="G487" s="288">
        <f t="shared" si="193"/>
        <v>2</v>
      </c>
      <c r="H487" s="288">
        <f t="shared" si="193"/>
        <v>2</v>
      </c>
      <c r="I487" s="288">
        <f t="shared" si="193"/>
        <v>2</v>
      </c>
      <c r="J487" s="288">
        <f t="shared" si="193"/>
        <v>2</v>
      </c>
      <c r="K487" s="288">
        <f t="shared" si="193"/>
        <v>2</v>
      </c>
      <c r="L487" s="288">
        <f t="shared" si="193"/>
        <v>2</v>
      </c>
      <c r="M487" s="288">
        <f t="shared" si="193"/>
        <v>2</v>
      </c>
      <c r="N487" s="288">
        <f t="shared" si="193"/>
        <v>2</v>
      </c>
      <c r="O487" s="288">
        <f t="shared" si="193"/>
        <v>2</v>
      </c>
      <c r="P487" s="288">
        <f t="shared" si="193"/>
        <v>2</v>
      </c>
      <c r="Q487" s="288">
        <f t="shared" si="193"/>
        <v>2</v>
      </c>
      <c r="R487" s="288">
        <f t="shared" si="193"/>
        <v>2</v>
      </c>
      <c r="S487" s="288">
        <f t="shared" si="193"/>
        <v>2</v>
      </c>
      <c r="T487" s="288">
        <f t="shared" si="193"/>
        <v>2</v>
      </c>
      <c r="U487" s="288">
        <f t="shared" si="193"/>
        <v>2</v>
      </c>
      <c r="V487" s="288">
        <f t="shared" si="193"/>
        <v>2</v>
      </c>
      <c r="W487" s="288">
        <f t="shared" si="193"/>
        <v>2</v>
      </c>
      <c r="X487" s="288">
        <f t="shared" si="193"/>
        <v>2</v>
      </c>
      <c r="Y487" s="288">
        <f t="shared" si="193"/>
        <v>2</v>
      </c>
      <c r="Z487" s="288">
        <f t="shared" si="193"/>
        <v>2</v>
      </c>
      <c r="AA487" s="288">
        <f t="shared" si="193"/>
        <v>2</v>
      </c>
      <c r="AB487" s="288">
        <f t="shared" si="193"/>
        <v>2</v>
      </c>
      <c r="AC487" s="288">
        <f t="shared" si="193"/>
        <v>2</v>
      </c>
      <c r="AD487" s="288">
        <f t="shared" si="193"/>
        <v>2</v>
      </c>
    </row>
    <row r="488" spans="1:30" s="62" customFormat="1" outlineLevel="1">
      <c r="A488" s="45"/>
      <c r="B488" s="13"/>
      <c r="C488" s="44"/>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row>
    <row r="489" spans="1:30" s="62" customFormat="1" ht="15.5" outlineLevel="1">
      <c r="A489" s="145" t="s">
        <v>314</v>
      </c>
      <c r="B489" s="114"/>
      <c r="C489" s="40"/>
      <c r="D489" s="115"/>
      <c r="E489" s="115"/>
      <c r="F489" s="115"/>
      <c r="G489" s="61"/>
      <c r="H489" s="61"/>
      <c r="I489" s="61"/>
      <c r="J489" s="61"/>
      <c r="K489" s="61"/>
      <c r="L489" s="61"/>
      <c r="M489" s="61"/>
      <c r="N489" s="61"/>
      <c r="O489" s="61"/>
      <c r="P489" s="61"/>
      <c r="Q489" s="61"/>
      <c r="R489" s="61"/>
      <c r="S489" s="61"/>
      <c r="T489" s="61"/>
      <c r="U489" s="61"/>
      <c r="V489" s="61"/>
      <c r="W489" s="61"/>
      <c r="X489" s="61"/>
      <c r="Y489" s="61"/>
      <c r="Z489" s="61"/>
      <c r="AA489" s="61"/>
      <c r="AB489" s="61"/>
      <c r="AC489" s="61"/>
      <c r="AD489" s="61"/>
    </row>
    <row r="490" spans="1:30" s="62" customFormat="1" outlineLevel="1">
      <c r="A490" s="214" t="s">
        <v>314</v>
      </c>
      <c r="B490" s="214" t="s">
        <v>305</v>
      </c>
      <c r="C490" s="40"/>
      <c r="D490" s="324">
        <v>2</v>
      </c>
      <c r="E490" s="288">
        <f t="shared" ref="E490:AD490" si="194">D490</f>
        <v>2</v>
      </c>
      <c r="F490" s="288">
        <f t="shared" si="194"/>
        <v>2</v>
      </c>
      <c r="G490" s="288">
        <f t="shared" si="194"/>
        <v>2</v>
      </c>
      <c r="H490" s="288">
        <f t="shared" si="194"/>
        <v>2</v>
      </c>
      <c r="I490" s="288">
        <f t="shared" si="194"/>
        <v>2</v>
      </c>
      <c r="J490" s="288">
        <f t="shared" si="194"/>
        <v>2</v>
      </c>
      <c r="K490" s="288">
        <f t="shared" si="194"/>
        <v>2</v>
      </c>
      <c r="L490" s="288">
        <f t="shared" si="194"/>
        <v>2</v>
      </c>
      <c r="M490" s="288">
        <f t="shared" si="194"/>
        <v>2</v>
      </c>
      <c r="N490" s="288">
        <f t="shared" si="194"/>
        <v>2</v>
      </c>
      <c r="O490" s="288">
        <f t="shared" si="194"/>
        <v>2</v>
      </c>
      <c r="P490" s="288">
        <f t="shared" si="194"/>
        <v>2</v>
      </c>
      <c r="Q490" s="288">
        <f t="shared" si="194"/>
        <v>2</v>
      </c>
      <c r="R490" s="288">
        <f t="shared" si="194"/>
        <v>2</v>
      </c>
      <c r="S490" s="288">
        <f t="shared" si="194"/>
        <v>2</v>
      </c>
      <c r="T490" s="288">
        <f t="shared" si="194"/>
        <v>2</v>
      </c>
      <c r="U490" s="288">
        <f t="shared" si="194"/>
        <v>2</v>
      </c>
      <c r="V490" s="288">
        <f t="shared" si="194"/>
        <v>2</v>
      </c>
      <c r="W490" s="288">
        <f t="shared" si="194"/>
        <v>2</v>
      </c>
      <c r="X490" s="288">
        <f t="shared" si="194"/>
        <v>2</v>
      </c>
      <c r="Y490" s="288">
        <f t="shared" si="194"/>
        <v>2</v>
      </c>
      <c r="Z490" s="288">
        <f t="shared" si="194"/>
        <v>2</v>
      </c>
      <c r="AA490" s="288">
        <f t="shared" si="194"/>
        <v>2</v>
      </c>
      <c r="AB490" s="288">
        <f t="shared" si="194"/>
        <v>2</v>
      </c>
      <c r="AC490" s="288">
        <f t="shared" si="194"/>
        <v>2</v>
      </c>
      <c r="AD490" s="288">
        <f t="shared" si="194"/>
        <v>2</v>
      </c>
    </row>
    <row r="491" spans="1:30" s="62" customFormat="1" outlineLevel="1">
      <c r="A491" s="45"/>
      <c r="B491" s="13"/>
      <c r="C491" s="40"/>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row>
    <row r="492" spans="1:30" s="62" customFormat="1" outlineLevel="1">
      <c r="A492" s="45" t="s">
        <v>369</v>
      </c>
      <c r="B492" s="13" t="s">
        <v>327</v>
      </c>
      <c r="C492" s="40"/>
      <c r="D492" s="57">
        <f t="shared" ref="D492:AD492" si="195">D479+D484+D487+D490</f>
        <v>13.154</v>
      </c>
      <c r="E492" s="57">
        <f t="shared" si="195"/>
        <v>13.154</v>
      </c>
      <c r="F492" s="57">
        <f t="shared" si="195"/>
        <v>13.154</v>
      </c>
      <c r="G492" s="57">
        <f t="shared" si="195"/>
        <v>13.154</v>
      </c>
      <c r="H492" s="57">
        <f t="shared" si="195"/>
        <v>13.154</v>
      </c>
      <c r="I492" s="57">
        <f t="shared" si="195"/>
        <v>13.154</v>
      </c>
      <c r="J492" s="57">
        <f t="shared" si="195"/>
        <v>13.154</v>
      </c>
      <c r="K492" s="57">
        <f t="shared" si="195"/>
        <v>13.154</v>
      </c>
      <c r="L492" s="57">
        <f t="shared" si="195"/>
        <v>13.154</v>
      </c>
      <c r="M492" s="57">
        <f t="shared" si="195"/>
        <v>13.154</v>
      </c>
      <c r="N492" s="57">
        <f t="shared" si="195"/>
        <v>13.154</v>
      </c>
      <c r="O492" s="57">
        <f t="shared" si="195"/>
        <v>13.154</v>
      </c>
      <c r="P492" s="57">
        <f t="shared" si="195"/>
        <v>13.154</v>
      </c>
      <c r="Q492" s="57">
        <f t="shared" si="195"/>
        <v>13.154</v>
      </c>
      <c r="R492" s="57">
        <f t="shared" si="195"/>
        <v>13.154</v>
      </c>
      <c r="S492" s="57">
        <f t="shared" si="195"/>
        <v>13.154</v>
      </c>
      <c r="T492" s="57">
        <f t="shared" si="195"/>
        <v>13.154</v>
      </c>
      <c r="U492" s="57">
        <f t="shared" si="195"/>
        <v>13.154</v>
      </c>
      <c r="V492" s="57">
        <f t="shared" si="195"/>
        <v>13.154</v>
      </c>
      <c r="W492" s="57">
        <f t="shared" si="195"/>
        <v>13.154</v>
      </c>
      <c r="X492" s="57">
        <f t="shared" si="195"/>
        <v>13.154</v>
      </c>
      <c r="Y492" s="57">
        <f t="shared" si="195"/>
        <v>13.154</v>
      </c>
      <c r="Z492" s="57">
        <f t="shared" si="195"/>
        <v>13.154</v>
      </c>
      <c r="AA492" s="57">
        <f t="shared" si="195"/>
        <v>13.154</v>
      </c>
      <c r="AB492" s="57">
        <f t="shared" si="195"/>
        <v>13.154</v>
      </c>
      <c r="AC492" s="57">
        <f t="shared" si="195"/>
        <v>13.154</v>
      </c>
      <c r="AD492" s="57">
        <f t="shared" si="195"/>
        <v>13.154</v>
      </c>
    </row>
    <row r="493" spans="1:30" s="62" customFormat="1" outlineLevel="1">
      <c r="A493" s="45"/>
      <c r="B493" s="45"/>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c r="AA493" s="56"/>
      <c r="AB493" s="56"/>
      <c r="AC493" s="56"/>
      <c r="AD493" s="56"/>
    </row>
    <row r="494" spans="1:30" s="62" customFormat="1" outlineLevel="1">
      <c r="A494" s="45" t="s">
        <v>330</v>
      </c>
      <c r="B494" s="13" t="s">
        <v>284</v>
      </c>
      <c r="C494" s="42">
        <f>SUM(D494:AD494)</f>
        <v>1354.8619999999996</v>
      </c>
      <c r="D494" s="70">
        <f t="shared" ref="D494:AD494" si="196">D465*D492</f>
        <v>0</v>
      </c>
      <c r="E494" s="70">
        <f t="shared" si="196"/>
        <v>0</v>
      </c>
      <c r="F494" s="70">
        <f t="shared" si="196"/>
        <v>55.14561538461539</v>
      </c>
      <c r="G494" s="70">
        <f t="shared" si="196"/>
        <v>92.078000000000003</v>
      </c>
      <c r="H494" s="70">
        <f t="shared" si="196"/>
        <v>92.078000000000003</v>
      </c>
      <c r="I494" s="70">
        <f t="shared" si="196"/>
        <v>92.078000000000003</v>
      </c>
      <c r="J494" s="70">
        <f t="shared" si="196"/>
        <v>96.631307692307686</v>
      </c>
      <c r="K494" s="70">
        <f t="shared" si="196"/>
        <v>87.524692307692305</v>
      </c>
      <c r="L494" s="70">
        <f t="shared" si="196"/>
        <v>92.078000000000003</v>
      </c>
      <c r="M494" s="70">
        <f t="shared" si="196"/>
        <v>92.078000000000003</v>
      </c>
      <c r="N494" s="70">
        <f t="shared" si="196"/>
        <v>92.078000000000003</v>
      </c>
      <c r="O494" s="70">
        <f t="shared" si="196"/>
        <v>92.078000000000003</v>
      </c>
      <c r="P494" s="70">
        <f t="shared" si="196"/>
        <v>92.078000000000003</v>
      </c>
      <c r="Q494" s="70">
        <f t="shared" si="196"/>
        <v>92.078000000000003</v>
      </c>
      <c r="R494" s="70">
        <f t="shared" si="196"/>
        <v>92.078000000000003</v>
      </c>
      <c r="S494" s="70">
        <f t="shared" si="196"/>
        <v>92.078000000000003</v>
      </c>
      <c r="T494" s="70">
        <f t="shared" si="196"/>
        <v>102.70238461538462</v>
      </c>
      <c r="U494" s="70">
        <f t="shared" si="196"/>
        <v>0</v>
      </c>
      <c r="V494" s="70">
        <f t="shared" si="196"/>
        <v>0</v>
      </c>
      <c r="W494" s="70">
        <f t="shared" si="196"/>
        <v>0</v>
      </c>
      <c r="X494" s="70">
        <f t="shared" si="196"/>
        <v>0</v>
      </c>
      <c r="Y494" s="70">
        <f t="shared" si="196"/>
        <v>0</v>
      </c>
      <c r="Z494" s="70">
        <f t="shared" si="196"/>
        <v>0</v>
      </c>
      <c r="AA494" s="70">
        <f t="shared" si="196"/>
        <v>0</v>
      </c>
      <c r="AB494" s="70">
        <f t="shared" si="196"/>
        <v>0</v>
      </c>
      <c r="AC494" s="70">
        <f t="shared" si="196"/>
        <v>0</v>
      </c>
      <c r="AD494" s="70">
        <f t="shared" si="196"/>
        <v>0</v>
      </c>
    </row>
    <row r="495" spans="1:30" s="62" customFormat="1" outlineLevel="1">
      <c r="A495" s="95"/>
      <c r="B495" s="96"/>
      <c r="C495" s="94"/>
      <c r="D495" s="44"/>
      <c r="E495" s="44"/>
      <c r="F495" s="44"/>
      <c r="G495" s="61"/>
      <c r="H495" s="61"/>
      <c r="I495" s="61"/>
      <c r="J495" s="61"/>
      <c r="K495" s="61"/>
      <c r="L495" s="61"/>
      <c r="M495" s="61"/>
      <c r="N495" s="61"/>
      <c r="O495" s="61"/>
      <c r="P495" s="61"/>
      <c r="Q495" s="61"/>
      <c r="R495" s="61"/>
      <c r="S495" s="61"/>
      <c r="T495" s="61"/>
      <c r="U495" s="61"/>
      <c r="V495" s="61"/>
      <c r="W495" s="61"/>
      <c r="X495" s="61"/>
      <c r="Y495" s="61"/>
      <c r="Z495" s="61"/>
      <c r="AA495" s="61"/>
      <c r="AB495" s="61"/>
      <c r="AC495" s="61"/>
      <c r="AD495" s="61"/>
    </row>
    <row r="496" spans="1:30" s="62" customFormat="1" ht="15.5" outlineLevel="1">
      <c r="A496" s="97" t="s">
        <v>331</v>
      </c>
      <c r="B496" s="8"/>
      <c r="C496" s="290"/>
      <c r="D496" s="4"/>
      <c r="E496" s="4"/>
      <c r="F496" s="4"/>
      <c r="G496" s="61"/>
      <c r="H496" s="61"/>
      <c r="I496" s="61"/>
      <c r="J496" s="61"/>
      <c r="K496" s="61"/>
      <c r="L496" s="61"/>
      <c r="M496" s="61"/>
      <c r="N496" s="61"/>
      <c r="O496" s="61"/>
      <c r="P496" s="61"/>
      <c r="Q496" s="61"/>
      <c r="R496" s="61"/>
      <c r="S496" s="61"/>
      <c r="T496" s="61"/>
      <c r="U496" s="61"/>
      <c r="V496" s="61"/>
      <c r="W496" s="61"/>
      <c r="X496" s="61"/>
      <c r="Y496" s="61"/>
      <c r="Z496" s="61"/>
      <c r="AA496" s="61"/>
      <c r="AB496" s="61"/>
      <c r="AC496" s="61"/>
      <c r="AD496" s="61"/>
    </row>
    <row r="497" spans="1:30" s="62" customFormat="1" outlineLevel="1">
      <c r="A497" s="13" t="s">
        <v>560</v>
      </c>
      <c r="B497" s="60"/>
      <c r="C497" s="42"/>
      <c r="D497" s="61"/>
      <c r="E497" s="61"/>
      <c r="F497" s="61"/>
      <c r="G497" s="61"/>
      <c r="H497" s="61"/>
      <c r="I497" s="61"/>
      <c r="J497" s="61"/>
      <c r="K497" s="61"/>
      <c r="L497" s="61"/>
      <c r="M497" s="61"/>
      <c r="N497" s="61"/>
      <c r="O497" s="61"/>
      <c r="P497" s="61"/>
      <c r="Q497" s="61"/>
      <c r="R497" s="61"/>
      <c r="S497" s="61"/>
      <c r="T497" s="61"/>
      <c r="U497" s="61"/>
      <c r="V497" s="61"/>
      <c r="W497" s="61"/>
      <c r="X497" s="61"/>
      <c r="Y497" s="61"/>
      <c r="Z497" s="61"/>
      <c r="AA497" s="61"/>
      <c r="AB497" s="61"/>
      <c r="AC497" s="61"/>
      <c r="AD497" s="61"/>
    </row>
    <row r="498" spans="1:30" s="62" customFormat="1" outlineLevel="1">
      <c r="A498" s="214" t="s">
        <v>318</v>
      </c>
      <c r="B498" s="214" t="s">
        <v>126</v>
      </c>
      <c r="C498" s="42"/>
      <c r="D498" s="219">
        <v>42</v>
      </c>
      <c r="E498" s="219">
        <f t="shared" ref="E498:AD500" si="197">D498</f>
        <v>42</v>
      </c>
      <c r="F498" s="219">
        <f t="shared" si="197"/>
        <v>42</v>
      </c>
      <c r="G498" s="219">
        <f t="shared" si="197"/>
        <v>42</v>
      </c>
      <c r="H498" s="219">
        <f t="shared" si="197"/>
        <v>42</v>
      </c>
      <c r="I498" s="219">
        <f t="shared" si="197"/>
        <v>42</v>
      </c>
      <c r="J498" s="219">
        <f t="shared" si="197"/>
        <v>42</v>
      </c>
      <c r="K498" s="219">
        <f t="shared" si="197"/>
        <v>42</v>
      </c>
      <c r="L498" s="219">
        <f t="shared" si="197"/>
        <v>42</v>
      </c>
      <c r="M498" s="219">
        <f t="shared" si="197"/>
        <v>42</v>
      </c>
      <c r="N498" s="219">
        <f t="shared" si="197"/>
        <v>42</v>
      </c>
      <c r="O498" s="219">
        <f t="shared" si="197"/>
        <v>42</v>
      </c>
      <c r="P498" s="219">
        <f t="shared" si="197"/>
        <v>42</v>
      </c>
      <c r="Q498" s="219">
        <f t="shared" si="197"/>
        <v>42</v>
      </c>
      <c r="R498" s="219">
        <f t="shared" si="197"/>
        <v>42</v>
      </c>
      <c r="S498" s="219">
        <f t="shared" si="197"/>
        <v>42</v>
      </c>
      <c r="T498" s="219">
        <f t="shared" si="197"/>
        <v>42</v>
      </c>
      <c r="U498" s="219">
        <f t="shared" si="197"/>
        <v>42</v>
      </c>
      <c r="V498" s="219">
        <f t="shared" si="197"/>
        <v>42</v>
      </c>
      <c r="W498" s="219">
        <f t="shared" si="197"/>
        <v>42</v>
      </c>
      <c r="X498" s="219">
        <f t="shared" si="197"/>
        <v>42</v>
      </c>
      <c r="Y498" s="219">
        <f t="shared" si="197"/>
        <v>42</v>
      </c>
      <c r="Z498" s="219">
        <f t="shared" si="197"/>
        <v>42</v>
      </c>
      <c r="AA498" s="219">
        <f t="shared" si="197"/>
        <v>42</v>
      </c>
      <c r="AB498" s="219">
        <f t="shared" si="197"/>
        <v>42</v>
      </c>
      <c r="AC498" s="219">
        <f t="shared" si="197"/>
        <v>42</v>
      </c>
      <c r="AD498" s="219">
        <f t="shared" si="197"/>
        <v>42</v>
      </c>
    </row>
    <row r="499" spans="1:30" s="62" customFormat="1" outlineLevel="1">
      <c r="A499" s="214" t="s">
        <v>319</v>
      </c>
      <c r="B499" s="214" t="s">
        <v>126</v>
      </c>
      <c r="C499" s="42"/>
      <c r="D499" s="219">
        <v>21</v>
      </c>
      <c r="E499" s="219">
        <f t="shared" si="197"/>
        <v>21</v>
      </c>
      <c r="F499" s="219">
        <f t="shared" si="197"/>
        <v>21</v>
      </c>
      <c r="G499" s="219">
        <f t="shared" si="197"/>
        <v>21</v>
      </c>
      <c r="H499" s="219">
        <f t="shared" si="197"/>
        <v>21</v>
      </c>
      <c r="I499" s="219">
        <f t="shared" si="197"/>
        <v>21</v>
      </c>
      <c r="J499" s="219">
        <f t="shared" si="197"/>
        <v>21</v>
      </c>
      <c r="K499" s="219">
        <f t="shared" si="197"/>
        <v>21</v>
      </c>
      <c r="L499" s="219">
        <f t="shared" si="197"/>
        <v>21</v>
      </c>
      <c r="M499" s="219">
        <f t="shared" si="197"/>
        <v>21</v>
      </c>
      <c r="N499" s="219">
        <f t="shared" si="197"/>
        <v>21</v>
      </c>
      <c r="O499" s="219">
        <f t="shared" si="197"/>
        <v>21</v>
      </c>
      <c r="P499" s="219">
        <f t="shared" si="197"/>
        <v>21</v>
      </c>
      <c r="Q499" s="219">
        <f t="shared" si="197"/>
        <v>21</v>
      </c>
      <c r="R499" s="219">
        <f t="shared" si="197"/>
        <v>21</v>
      </c>
      <c r="S499" s="219">
        <f t="shared" si="197"/>
        <v>21</v>
      </c>
      <c r="T499" s="219">
        <f t="shared" si="197"/>
        <v>21</v>
      </c>
      <c r="U499" s="219">
        <f t="shared" si="197"/>
        <v>21</v>
      </c>
      <c r="V499" s="219">
        <f t="shared" si="197"/>
        <v>21</v>
      </c>
      <c r="W499" s="219">
        <f t="shared" si="197"/>
        <v>21</v>
      </c>
      <c r="X499" s="219">
        <f t="shared" si="197"/>
        <v>21</v>
      </c>
      <c r="Y499" s="219">
        <f t="shared" si="197"/>
        <v>21</v>
      </c>
      <c r="Z499" s="219">
        <f t="shared" si="197"/>
        <v>21</v>
      </c>
      <c r="AA499" s="219">
        <f t="shared" si="197"/>
        <v>21</v>
      </c>
      <c r="AB499" s="219">
        <f t="shared" si="197"/>
        <v>21</v>
      </c>
      <c r="AC499" s="219">
        <f t="shared" si="197"/>
        <v>21</v>
      </c>
      <c r="AD499" s="219">
        <f t="shared" si="197"/>
        <v>21</v>
      </c>
    </row>
    <row r="500" spans="1:30" s="62" customFormat="1" outlineLevel="1">
      <c r="A500" s="214" t="s">
        <v>320</v>
      </c>
      <c r="B500" s="214" t="s">
        <v>126</v>
      </c>
      <c r="C500" s="42"/>
      <c r="D500" s="219">
        <v>9</v>
      </c>
      <c r="E500" s="219">
        <f t="shared" si="197"/>
        <v>9</v>
      </c>
      <c r="F500" s="219">
        <f t="shared" si="197"/>
        <v>9</v>
      </c>
      <c r="G500" s="219">
        <f t="shared" si="197"/>
        <v>9</v>
      </c>
      <c r="H500" s="219">
        <f t="shared" si="197"/>
        <v>9</v>
      </c>
      <c r="I500" s="219">
        <f t="shared" si="197"/>
        <v>9</v>
      </c>
      <c r="J500" s="219">
        <f t="shared" si="197"/>
        <v>9</v>
      </c>
      <c r="K500" s="219">
        <f t="shared" si="197"/>
        <v>9</v>
      </c>
      <c r="L500" s="219">
        <f t="shared" si="197"/>
        <v>9</v>
      </c>
      <c r="M500" s="219">
        <f t="shared" si="197"/>
        <v>9</v>
      </c>
      <c r="N500" s="219">
        <f t="shared" si="197"/>
        <v>9</v>
      </c>
      <c r="O500" s="219">
        <f t="shared" si="197"/>
        <v>9</v>
      </c>
      <c r="P500" s="219">
        <f t="shared" si="197"/>
        <v>9</v>
      </c>
      <c r="Q500" s="219">
        <f t="shared" si="197"/>
        <v>9</v>
      </c>
      <c r="R500" s="219">
        <f t="shared" si="197"/>
        <v>9</v>
      </c>
      <c r="S500" s="219">
        <f t="shared" si="197"/>
        <v>9</v>
      </c>
      <c r="T500" s="219">
        <f t="shared" si="197"/>
        <v>9</v>
      </c>
      <c r="U500" s="219">
        <f t="shared" si="197"/>
        <v>9</v>
      </c>
      <c r="V500" s="219">
        <f t="shared" si="197"/>
        <v>9</v>
      </c>
      <c r="W500" s="219">
        <f t="shared" si="197"/>
        <v>9</v>
      </c>
      <c r="X500" s="219">
        <f t="shared" si="197"/>
        <v>9</v>
      </c>
      <c r="Y500" s="219">
        <f t="shared" si="197"/>
        <v>9</v>
      </c>
      <c r="Z500" s="219">
        <f t="shared" si="197"/>
        <v>9</v>
      </c>
      <c r="AA500" s="219">
        <f t="shared" si="197"/>
        <v>9</v>
      </c>
      <c r="AB500" s="219">
        <f t="shared" si="197"/>
        <v>9</v>
      </c>
      <c r="AC500" s="219">
        <f t="shared" si="197"/>
        <v>9</v>
      </c>
      <c r="AD500" s="219">
        <f t="shared" si="197"/>
        <v>9</v>
      </c>
    </row>
    <row r="501" spans="1:30" s="62" customFormat="1" outlineLevel="1">
      <c r="A501" s="45" t="s">
        <v>321</v>
      </c>
      <c r="B501" s="13" t="s">
        <v>126</v>
      </c>
      <c r="C501" s="44"/>
      <c r="D501" s="42">
        <f t="shared" ref="D501:AD501" si="198">SUM(D498:D500)</f>
        <v>72</v>
      </c>
      <c r="E501" s="42">
        <f t="shared" si="198"/>
        <v>72</v>
      </c>
      <c r="F501" s="42">
        <f t="shared" si="198"/>
        <v>72</v>
      </c>
      <c r="G501" s="42">
        <f t="shared" si="198"/>
        <v>72</v>
      </c>
      <c r="H501" s="42">
        <f t="shared" si="198"/>
        <v>72</v>
      </c>
      <c r="I501" s="42">
        <f t="shared" si="198"/>
        <v>72</v>
      </c>
      <c r="J501" s="42">
        <f t="shared" si="198"/>
        <v>72</v>
      </c>
      <c r="K501" s="42">
        <f t="shared" si="198"/>
        <v>72</v>
      </c>
      <c r="L501" s="42">
        <f t="shared" si="198"/>
        <v>72</v>
      </c>
      <c r="M501" s="42">
        <f t="shared" si="198"/>
        <v>72</v>
      </c>
      <c r="N501" s="42">
        <f t="shared" si="198"/>
        <v>72</v>
      </c>
      <c r="O501" s="42">
        <f t="shared" si="198"/>
        <v>72</v>
      </c>
      <c r="P501" s="42">
        <f t="shared" si="198"/>
        <v>72</v>
      </c>
      <c r="Q501" s="42">
        <f t="shared" si="198"/>
        <v>72</v>
      </c>
      <c r="R501" s="42">
        <f t="shared" si="198"/>
        <v>72</v>
      </c>
      <c r="S501" s="42">
        <f t="shared" si="198"/>
        <v>72</v>
      </c>
      <c r="T501" s="42">
        <f t="shared" si="198"/>
        <v>72</v>
      </c>
      <c r="U501" s="42">
        <f t="shared" si="198"/>
        <v>72</v>
      </c>
      <c r="V501" s="42">
        <f t="shared" si="198"/>
        <v>72</v>
      </c>
      <c r="W501" s="42">
        <f t="shared" si="198"/>
        <v>72</v>
      </c>
      <c r="X501" s="42">
        <f t="shared" si="198"/>
        <v>72</v>
      </c>
      <c r="Y501" s="42">
        <f t="shared" si="198"/>
        <v>72</v>
      </c>
      <c r="Z501" s="42">
        <f t="shared" si="198"/>
        <v>72</v>
      </c>
      <c r="AA501" s="42">
        <f t="shared" si="198"/>
        <v>72</v>
      </c>
      <c r="AB501" s="42">
        <f t="shared" si="198"/>
        <v>72</v>
      </c>
      <c r="AC501" s="42">
        <f t="shared" si="198"/>
        <v>72</v>
      </c>
      <c r="AD501" s="42">
        <f t="shared" si="198"/>
        <v>72</v>
      </c>
    </row>
    <row r="502" spans="1:30" s="62" customFormat="1" outlineLevel="1">
      <c r="A502" s="214" t="s">
        <v>454</v>
      </c>
      <c r="B502" s="214" t="s">
        <v>332</v>
      </c>
      <c r="C502" s="42"/>
      <c r="D502" s="219">
        <v>160</v>
      </c>
      <c r="E502" s="219">
        <f t="shared" ref="E502:AD502" si="199">D502</f>
        <v>160</v>
      </c>
      <c r="F502" s="219">
        <f t="shared" si="199"/>
        <v>160</v>
      </c>
      <c r="G502" s="219">
        <f t="shared" si="199"/>
        <v>160</v>
      </c>
      <c r="H502" s="219">
        <f t="shared" si="199"/>
        <v>160</v>
      </c>
      <c r="I502" s="219">
        <f t="shared" si="199"/>
        <v>160</v>
      </c>
      <c r="J502" s="219">
        <f t="shared" si="199"/>
        <v>160</v>
      </c>
      <c r="K502" s="219">
        <f t="shared" si="199"/>
        <v>160</v>
      </c>
      <c r="L502" s="219">
        <f t="shared" si="199"/>
        <v>160</v>
      </c>
      <c r="M502" s="219">
        <f t="shared" si="199"/>
        <v>160</v>
      </c>
      <c r="N502" s="219">
        <f t="shared" si="199"/>
        <v>160</v>
      </c>
      <c r="O502" s="219">
        <f t="shared" si="199"/>
        <v>160</v>
      </c>
      <c r="P502" s="219">
        <f t="shared" si="199"/>
        <v>160</v>
      </c>
      <c r="Q502" s="219">
        <f t="shared" si="199"/>
        <v>160</v>
      </c>
      <c r="R502" s="219">
        <f t="shared" si="199"/>
        <v>160</v>
      </c>
      <c r="S502" s="219">
        <f t="shared" si="199"/>
        <v>160</v>
      </c>
      <c r="T502" s="219">
        <f t="shared" si="199"/>
        <v>160</v>
      </c>
      <c r="U502" s="219">
        <f t="shared" si="199"/>
        <v>160</v>
      </c>
      <c r="V502" s="219">
        <f t="shared" si="199"/>
        <v>160</v>
      </c>
      <c r="W502" s="219">
        <f t="shared" si="199"/>
        <v>160</v>
      </c>
      <c r="X502" s="219">
        <f t="shared" si="199"/>
        <v>160</v>
      </c>
      <c r="Y502" s="219">
        <f t="shared" si="199"/>
        <v>160</v>
      </c>
      <c r="Z502" s="219">
        <f t="shared" si="199"/>
        <v>160</v>
      </c>
      <c r="AA502" s="219">
        <f t="shared" si="199"/>
        <v>160</v>
      </c>
      <c r="AB502" s="219">
        <f t="shared" si="199"/>
        <v>160</v>
      </c>
      <c r="AC502" s="219">
        <f t="shared" si="199"/>
        <v>160</v>
      </c>
      <c r="AD502" s="219">
        <f t="shared" si="199"/>
        <v>160</v>
      </c>
    </row>
    <row r="503" spans="1:30" s="62" customFormat="1" outlineLevel="1">
      <c r="A503" s="45" t="str">
        <f>A501</f>
        <v>labour - processing</v>
      </c>
      <c r="B503" s="13" t="s">
        <v>284</v>
      </c>
      <c r="C503" s="42">
        <f>SUM(D503:AD503)</f>
        <v>311.04000000000002</v>
      </c>
      <c r="D503" s="42">
        <f t="shared" ref="D503:AD503" si="200">D501*D502/1000</f>
        <v>11.52</v>
      </c>
      <c r="E503" s="42">
        <f t="shared" si="200"/>
        <v>11.52</v>
      </c>
      <c r="F503" s="42">
        <f t="shared" si="200"/>
        <v>11.52</v>
      </c>
      <c r="G503" s="42">
        <f t="shared" si="200"/>
        <v>11.52</v>
      </c>
      <c r="H503" s="42">
        <f t="shared" si="200"/>
        <v>11.52</v>
      </c>
      <c r="I503" s="42">
        <f t="shared" si="200"/>
        <v>11.52</v>
      </c>
      <c r="J503" s="42">
        <f t="shared" si="200"/>
        <v>11.52</v>
      </c>
      <c r="K503" s="42">
        <f t="shared" si="200"/>
        <v>11.52</v>
      </c>
      <c r="L503" s="42">
        <f t="shared" si="200"/>
        <v>11.52</v>
      </c>
      <c r="M503" s="42">
        <f t="shared" si="200"/>
        <v>11.52</v>
      </c>
      <c r="N503" s="42">
        <f t="shared" si="200"/>
        <v>11.52</v>
      </c>
      <c r="O503" s="42">
        <f t="shared" si="200"/>
        <v>11.52</v>
      </c>
      <c r="P503" s="42">
        <f t="shared" si="200"/>
        <v>11.52</v>
      </c>
      <c r="Q503" s="42">
        <f t="shared" si="200"/>
        <v>11.52</v>
      </c>
      <c r="R503" s="42">
        <f t="shared" si="200"/>
        <v>11.52</v>
      </c>
      <c r="S503" s="42">
        <f t="shared" si="200"/>
        <v>11.52</v>
      </c>
      <c r="T503" s="42">
        <f t="shared" si="200"/>
        <v>11.52</v>
      </c>
      <c r="U503" s="42">
        <f t="shared" si="200"/>
        <v>11.52</v>
      </c>
      <c r="V503" s="42">
        <f t="shared" si="200"/>
        <v>11.52</v>
      </c>
      <c r="W503" s="42">
        <f t="shared" si="200"/>
        <v>11.52</v>
      </c>
      <c r="X503" s="42">
        <f t="shared" si="200"/>
        <v>11.52</v>
      </c>
      <c r="Y503" s="42">
        <f t="shared" si="200"/>
        <v>11.52</v>
      </c>
      <c r="Z503" s="42">
        <f t="shared" si="200"/>
        <v>11.52</v>
      </c>
      <c r="AA503" s="42">
        <f t="shared" si="200"/>
        <v>11.52</v>
      </c>
      <c r="AB503" s="42">
        <f t="shared" si="200"/>
        <v>11.52</v>
      </c>
      <c r="AC503" s="42">
        <f t="shared" si="200"/>
        <v>11.52</v>
      </c>
      <c r="AD503" s="42">
        <f t="shared" si="200"/>
        <v>11.52</v>
      </c>
    </row>
    <row r="504" spans="1:30" s="62" customFormat="1" outlineLevel="1">
      <c r="A504" s="45"/>
      <c r="B504" s="13"/>
      <c r="C504" s="42"/>
      <c r="D504" s="42"/>
      <c r="E504" s="42"/>
      <c r="F504" s="42"/>
      <c r="G504" s="42"/>
      <c r="H504" s="42"/>
      <c r="I504" s="42"/>
      <c r="J504" s="42"/>
      <c r="K504" s="42"/>
      <c r="L504" s="42"/>
      <c r="M504" s="42"/>
      <c r="N504" s="42"/>
      <c r="O504" s="42"/>
      <c r="P504" s="42"/>
      <c r="Q504" s="42"/>
      <c r="R504" s="42"/>
      <c r="S504" s="42"/>
      <c r="T504" s="42"/>
      <c r="U504" s="42"/>
      <c r="V504" s="42"/>
      <c r="W504" s="42"/>
      <c r="X504" s="42"/>
      <c r="Y504" s="42"/>
      <c r="Z504" s="42"/>
      <c r="AA504" s="42"/>
      <c r="AB504" s="42"/>
      <c r="AC504" s="42"/>
      <c r="AD504" s="42"/>
    </row>
    <row r="505" spans="1:30" s="62" customFormat="1" outlineLevel="1">
      <c r="A505" s="214" t="s">
        <v>333</v>
      </c>
      <c r="B505" s="214" t="s">
        <v>285</v>
      </c>
      <c r="C505" s="42"/>
      <c r="D505" s="219">
        <v>5</v>
      </c>
      <c r="E505" s="219">
        <f t="shared" ref="E505:AD505" si="201">D505</f>
        <v>5</v>
      </c>
      <c r="F505" s="219">
        <f t="shared" si="201"/>
        <v>5</v>
      </c>
      <c r="G505" s="219">
        <f t="shared" si="201"/>
        <v>5</v>
      </c>
      <c r="H505" s="219">
        <f t="shared" si="201"/>
        <v>5</v>
      </c>
      <c r="I505" s="219">
        <f t="shared" si="201"/>
        <v>5</v>
      </c>
      <c r="J505" s="219">
        <f t="shared" si="201"/>
        <v>5</v>
      </c>
      <c r="K505" s="219">
        <f t="shared" si="201"/>
        <v>5</v>
      </c>
      <c r="L505" s="219">
        <f t="shared" si="201"/>
        <v>5</v>
      </c>
      <c r="M505" s="219">
        <f t="shared" si="201"/>
        <v>5</v>
      </c>
      <c r="N505" s="219">
        <f t="shared" si="201"/>
        <v>5</v>
      </c>
      <c r="O505" s="219">
        <f t="shared" si="201"/>
        <v>5</v>
      </c>
      <c r="P505" s="219">
        <f t="shared" si="201"/>
        <v>5</v>
      </c>
      <c r="Q505" s="219">
        <f t="shared" si="201"/>
        <v>5</v>
      </c>
      <c r="R505" s="219">
        <f t="shared" si="201"/>
        <v>5</v>
      </c>
      <c r="S505" s="219">
        <f t="shared" si="201"/>
        <v>5</v>
      </c>
      <c r="T505" s="219">
        <f t="shared" si="201"/>
        <v>5</v>
      </c>
      <c r="U505" s="219">
        <f t="shared" si="201"/>
        <v>5</v>
      </c>
      <c r="V505" s="219">
        <f t="shared" si="201"/>
        <v>5</v>
      </c>
      <c r="W505" s="219">
        <f t="shared" si="201"/>
        <v>5</v>
      </c>
      <c r="X505" s="219">
        <f t="shared" si="201"/>
        <v>5</v>
      </c>
      <c r="Y505" s="219">
        <f t="shared" si="201"/>
        <v>5</v>
      </c>
      <c r="Z505" s="219">
        <f t="shared" si="201"/>
        <v>5</v>
      </c>
      <c r="AA505" s="219">
        <f t="shared" si="201"/>
        <v>5</v>
      </c>
      <c r="AB505" s="219">
        <f t="shared" si="201"/>
        <v>5</v>
      </c>
      <c r="AC505" s="219">
        <f t="shared" si="201"/>
        <v>5</v>
      </c>
      <c r="AD505" s="219">
        <f t="shared" si="201"/>
        <v>5</v>
      </c>
    </row>
    <row r="506" spans="1:30" s="62" customFormat="1" outlineLevel="1">
      <c r="A506" s="45"/>
      <c r="B506" s="13"/>
      <c r="C506" s="42"/>
      <c r="D506" s="42"/>
      <c r="E506" s="42"/>
      <c r="F506" s="42"/>
      <c r="G506" s="42"/>
      <c r="H506" s="42"/>
      <c r="I506" s="42"/>
      <c r="J506" s="42"/>
      <c r="K506" s="42"/>
      <c r="L506" s="42"/>
      <c r="M506" s="42"/>
      <c r="N506" s="42"/>
      <c r="O506" s="42"/>
      <c r="P506" s="42"/>
      <c r="Q506" s="42"/>
      <c r="R506" s="42"/>
      <c r="S506" s="42"/>
      <c r="T506" s="42"/>
      <c r="U506" s="42"/>
      <c r="V506" s="42"/>
      <c r="W506" s="42"/>
      <c r="X506" s="42"/>
      <c r="Y506" s="42"/>
      <c r="Z506" s="42"/>
      <c r="AA506" s="42"/>
      <c r="AB506" s="42"/>
      <c r="AC506" s="42"/>
      <c r="AD506" s="42"/>
    </row>
    <row r="507" spans="1:30" s="62" customFormat="1" outlineLevel="1">
      <c r="A507" s="45" t="s">
        <v>331</v>
      </c>
      <c r="B507" s="13" t="s">
        <v>284</v>
      </c>
      <c r="C507" s="42">
        <f>SUM(D507:AD507)</f>
        <v>247.80000000000007</v>
      </c>
      <c r="D507" s="70">
        <f t="shared" ref="D507:AD507" si="202">IF(D465=0,0,D503+D505)</f>
        <v>0</v>
      </c>
      <c r="E507" s="70">
        <f t="shared" si="202"/>
        <v>0</v>
      </c>
      <c r="F507" s="70">
        <f t="shared" si="202"/>
        <v>16.52</v>
      </c>
      <c r="G507" s="70">
        <f t="shared" si="202"/>
        <v>16.52</v>
      </c>
      <c r="H507" s="70">
        <f t="shared" si="202"/>
        <v>16.52</v>
      </c>
      <c r="I507" s="70">
        <f t="shared" si="202"/>
        <v>16.52</v>
      </c>
      <c r="J507" s="70">
        <f t="shared" si="202"/>
        <v>16.52</v>
      </c>
      <c r="K507" s="70">
        <f t="shared" si="202"/>
        <v>16.52</v>
      </c>
      <c r="L507" s="70">
        <f t="shared" si="202"/>
        <v>16.52</v>
      </c>
      <c r="M507" s="70">
        <f t="shared" si="202"/>
        <v>16.52</v>
      </c>
      <c r="N507" s="70">
        <f t="shared" si="202"/>
        <v>16.52</v>
      </c>
      <c r="O507" s="70">
        <f t="shared" si="202"/>
        <v>16.52</v>
      </c>
      <c r="P507" s="70">
        <f t="shared" si="202"/>
        <v>16.52</v>
      </c>
      <c r="Q507" s="70">
        <f t="shared" si="202"/>
        <v>16.52</v>
      </c>
      <c r="R507" s="70">
        <f t="shared" si="202"/>
        <v>16.52</v>
      </c>
      <c r="S507" s="70">
        <f t="shared" si="202"/>
        <v>16.52</v>
      </c>
      <c r="T507" s="70">
        <f t="shared" si="202"/>
        <v>16.52</v>
      </c>
      <c r="U507" s="70">
        <f t="shared" si="202"/>
        <v>0</v>
      </c>
      <c r="V507" s="70">
        <f t="shared" si="202"/>
        <v>0</v>
      </c>
      <c r="W507" s="70">
        <f t="shared" si="202"/>
        <v>0</v>
      </c>
      <c r="X507" s="70">
        <f t="shared" si="202"/>
        <v>0</v>
      </c>
      <c r="Y507" s="70">
        <f t="shared" si="202"/>
        <v>0</v>
      </c>
      <c r="Z507" s="70">
        <f t="shared" si="202"/>
        <v>0</v>
      </c>
      <c r="AA507" s="70">
        <f t="shared" si="202"/>
        <v>0</v>
      </c>
      <c r="AB507" s="70">
        <f t="shared" si="202"/>
        <v>0</v>
      </c>
      <c r="AC507" s="70">
        <f t="shared" si="202"/>
        <v>0</v>
      </c>
      <c r="AD507" s="70">
        <f t="shared" si="202"/>
        <v>0</v>
      </c>
    </row>
    <row r="508" spans="1:30" s="45" customFormat="1" ht="15.65" customHeight="1" outlineLevel="1">
      <c r="A508" s="41"/>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c r="AA508" s="44"/>
      <c r="AB508" s="44"/>
      <c r="AC508" s="44"/>
      <c r="AD508" s="44"/>
    </row>
    <row r="509" spans="1:30" s="286" customFormat="1" ht="28.75" customHeight="1" outlineLevel="1">
      <c r="A509" s="127" t="s">
        <v>32</v>
      </c>
      <c r="B509" s="117" t="s">
        <v>284</v>
      </c>
      <c r="C509" s="232">
        <f>SUM(D509:AD509)</f>
        <v>1602.6619999999998</v>
      </c>
      <c r="D509" s="287">
        <f t="shared" ref="D509:AD509" si="203">D494+D507</f>
        <v>0</v>
      </c>
      <c r="E509" s="287">
        <f t="shared" si="203"/>
        <v>0</v>
      </c>
      <c r="F509" s="287">
        <f t="shared" si="203"/>
        <v>71.665615384615393</v>
      </c>
      <c r="G509" s="287">
        <f t="shared" si="203"/>
        <v>108.598</v>
      </c>
      <c r="H509" s="287">
        <f t="shared" si="203"/>
        <v>108.598</v>
      </c>
      <c r="I509" s="287">
        <f t="shared" si="203"/>
        <v>108.598</v>
      </c>
      <c r="J509" s="287">
        <f t="shared" si="203"/>
        <v>113.15130769230768</v>
      </c>
      <c r="K509" s="287">
        <f t="shared" si="203"/>
        <v>104.0446923076923</v>
      </c>
      <c r="L509" s="287">
        <f t="shared" si="203"/>
        <v>108.598</v>
      </c>
      <c r="M509" s="287">
        <f t="shared" si="203"/>
        <v>108.598</v>
      </c>
      <c r="N509" s="287">
        <f t="shared" si="203"/>
        <v>108.598</v>
      </c>
      <c r="O509" s="287">
        <f t="shared" si="203"/>
        <v>108.598</v>
      </c>
      <c r="P509" s="287">
        <f t="shared" si="203"/>
        <v>108.598</v>
      </c>
      <c r="Q509" s="287">
        <f t="shared" si="203"/>
        <v>108.598</v>
      </c>
      <c r="R509" s="287">
        <f t="shared" si="203"/>
        <v>108.598</v>
      </c>
      <c r="S509" s="287">
        <f t="shared" si="203"/>
        <v>108.598</v>
      </c>
      <c r="T509" s="287">
        <f t="shared" si="203"/>
        <v>119.22238461538461</v>
      </c>
      <c r="U509" s="287">
        <f t="shared" si="203"/>
        <v>0</v>
      </c>
      <c r="V509" s="287">
        <f t="shared" si="203"/>
        <v>0</v>
      </c>
      <c r="W509" s="287">
        <f t="shared" si="203"/>
        <v>0</v>
      </c>
      <c r="X509" s="287">
        <f t="shared" si="203"/>
        <v>0</v>
      </c>
      <c r="Y509" s="287">
        <f t="shared" si="203"/>
        <v>0</v>
      </c>
      <c r="Z509" s="287">
        <f t="shared" si="203"/>
        <v>0</v>
      </c>
      <c r="AA509" s="287">
        <f t="shared" si="203"/>
        <v>0</v>
      </c>
      <c r="AB509" s="287">
        <f t="shared" si="203"/>
        <v>0</v>
      </c>
      <c r="AC509" s="287">
        <f t="shared" si="203"/>
        <v>0</v>
      </c>
      <c r="AD509" s="287">
        <f t="shared" si="203"/>
        <v>0</v>
      </c>
    </row>
    <row r="510" spans="1:30" s="45" customFormat="1" outlineLevel="1">
      <c r="A510" s="75" t="str">
        <f>A509&amp;"/tonne milled"</f>
        <v>processing opex/tonne milled</v>
      </c>
      <c r="B510" s="13" t="s">
        <v>303</v>
      </c>
      <c r="C510" s="57">
        <f>IF(C$154=0,0,C509/C$154)</f>
        <v>15.559825242718444</v>
      </c>
      <c r="D510" s="75">
        <f t="shared" ref="D510:AD510" si="204">IF(D$154=0,0,D509/D$154)</f>
        <v>0</v>
      </c>
      <c r="E510" s="75">
        <f t="shared" si="204"/>
        <v>0</v>
      </c>
      <c r="F510" s="75">
        <f t="shared" si="204"/>
        <v>17.094550458715599</v>
      </c>
      <c r="G510" s="75">
        <f t="shared" si="204"/>
        <v>15.513999999999999</v>
      </c>
      <c r="H510" s="75">
        <f t="shared" si="204"/>
        <v>15.513999999999999</v>
      </c>
      <c r="I510" s="75">
        <f t="shared" si="204"/>
        <v>15.513999999999999</v>
      </c>
      <c r="J510" s="75">
        <f t="shared" si="204"/>
        <v>15.402795811518324</v>
      </c>
      <c r="K510" s="75">
        <f t="shared" si="204"/>
        <v>15.636774566473987</v>
      </c>
      <c r="L510" s="75">
        <f t="shared" si="204"/>
        <v>15.513999999999999</v>
      </c>
      <c r="M510" s="75">
        <f t="shared" si="204"/>
        <v>15.513999999999999</v>
      </c>
      <c r="N510" s="75">
        <f t="shared" si="204"/>
        <v>15.513999999999999</v>
      </c>
      <c r="O510" s="75">
        <f t="shared" si="204"/>
        <v>15.513999999999999</v>
      </c>
      <c r="P510" s="75">
        <f t="shared" si="204"/>
        <v>15.513999999999999</v>
      </c>
      <c r="Q510" s="75">
        <f t="shared" si="204"/>
        <v>15.513999999999999</v>
      </c>
      <c r="R510" s="75">
        <f t="shared" si="204"/>
        <v>15.513999999999999</v>
      </c>
      <c r="S510" s="75">
        <f t="shared" si="204"/>
        <v>15.513999999999999</v>
      </c>
      <c r="T510" s="75">
        <f t="shared" si="204"/>
        <v>15.269862068965518</v>
      </c>
      <c r="U510" s="75">
        <f t="shared" si="204"/>
        <v>0</v>
      </c>
      <c r="V510" s="75">
        <f t="shared" si="204"/>
        <v>0</v>
      </c>
      <c r="W510" s="75">
        <f t="shared" si="204"/>
        <v>0</v>
      </c>
      <c r="X510" s="75">
        <f t="shared" si="204"/>
        <v>0</v>
      </c>
      <c r="Y510" s="75">
        <f t="shared" si="204"/>
        <v>0</v>
      </c>
      <c r="Z510" s="75">
        <f t="shared" si="204"/>
        <v>0</v>
      </c>
      <c r="AA510" s="75">
        <f t="shared" si="204"/>
        <v>0</v>
      </c>
      <c r="AB510" s="75">
        <f t="shared" si="204"/>
        <v>0</v>
      </c>
      <c r="AC510" s="75">
        <f t="shared" si="204"/>
        <v>0</v>
      </c>
      <c r="AD510" s="75">
        <f t="shared" si="204"/>
        <v>0</v>
      </c>
    </row>
    <row r="511" spans="1:30" s="45" customFormat="1" outlineLevel="1">
      <c r="B511" s="13"/>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row>
    <row r="512" spans="1:30" s="8" customFormat="1" ht="15.5" outlineLevel="1">
      <c r="A512" s="242" t="str">
        <f>'Expected NPV &amp; Common Data'!A$36</f>
        <v>Calendar Year --&gt;</v>
      </c>
      <c r="B512" s="243" t="str">
        <f>'Expected NPV &amp; Common Data'!B$36</f>
        <v>units</v>
      </c>
      <c r="C512" s="244" t="str">
        <f>'Expected NPV &amp; Common Data'!C$36</f>
        <v>Total</v>
      </c>
      <c r="D512" s="245">
        <f>'Expected NPV &amp; Common Data'!D$36</f>
        <v>2027</v>
      </c>
      <c r="E512" s="245">
        <f>'Expected NPV &amp; Common Data'!E$36</f>
        <v>2028</v>
      </c>
      <c r="F512" s="245">
        <f>'Expected NPV &amp; Common Data'!F$36</f>
        <v>2029</v>
      </c>
      <c r="G512" s="245">
        <f>'Expected NPV &amp; Common Data'!G$36</f>
        <v>2030</v>
      </c>
      <c r="H512" s="245">
        <f>'Expected NPV &amp; Common Data'!H$36</f>
        <v>2031</v>
      </c>
      <c r="I512" s="245">
        <f>'Expected NPV &amp; Common Data'!I$36</f>
        <v>2032</v>
      </c>
      <c r="J512" s="245">
        <f>'Expected NPV &amp; Common Data'!J$36</f>
        <v>2033</v>
      </c>
      <c r="K512" s="245">
        <f>'Expected NPV &amp; Common Data'!K$36</f>
        <v>2034</v>
      </c>
      <c r="L512" s="245">
        <f>'Expected NPV &amp; Common Data'!L$36</f>
        <v>2035</v>
      </c>
      <c r="M512" s="245">
        <f>'Expected NPV &amp; Common Data'!M$36</f>
        <v>2036</v>
      </c>
      <c r="N512" s="245">
        <f>'Expected NPV &amp; Common Data'!N$36</f>
        <v>2037</v>
      </c>
      <c r="O512" s="245">
        <f>'Expected NPV &amp; Common Data'!O$36</f>
        <v>2038</v>
      </c>
      <c r="P512" s="245">
        <f>'Expected NPV &amp; Common Data'!P$36</f>
        <v>2039</v>
      </c>
      <c r="Q512" s="245">
        <f>'Expected NPV &amp; Common Data'!Q$36</f>
        <v>2040</v>
      </c>
      <c r="R512" s="245">
        <f>'Expected NPV &amp; Common Data'!R$36</f>
        <v>2041</v>
      </c>
      <c r="S512" s="245">
        <f>'Expected NPV &amp; Common Data'!S$36</f>
        <v>2042</v>
      </c>
      <c r="T512" s="245">
        <f>'Expected NPV &amp; Common Data'!T$36</f>
        <v>2043</v>
      </c>
      <c r="U512" s="245">
        <f>'Expected NPV &amp; Common Data'!U$36</f>
        <v>2044</v>
      </c>
      <c r="V512" s="245">
        <f>'Expected NPV &amp; Common Data'!V$36</f>
        <v>2045</v>
      </c>
      <c r="W512" s="245">
        <f>'Expected NPV &amp; Common Data'!W$36</f>
        <v>2046</v>
      </c>
      <c r="X512" s="245">
        <f>'Expected NPV &amp; Common Data'!X$36</f>
        <v>2047</v>
      </c>
      <c r="Y512" s="245">
        <f>'Expected NPV &amp; Common Data'!Y$36</f>
        <v>2048</v>
      </c>
      <c r="Z512" s="245">
        <f>'Expected NPV &amp; Common Data'!Z$36</f>
        <v>2049</v>
      </c>
      <c r="AA512" s="245">
        <f>'Expected NPV &amp; Common Data'!AA$36</f>
        <v>2050</v>
      </c>
      <c r="AB512" s="245">
        <f>'Expected NPV &amp; Common Data'!AB$36</f>
        <v>2051</v>
      </c>
      <c r="AC512" s="245">
        <f>'Expected NPV &amp; Common Data'!AC$36</f>
        <v>2052</v>
      </c>
      <c r="AD512" s="245">
        <f>'Expected NPV &amp; Common Data'!AD$36</f>
        <v>2053</v>
      </c>
    </row>
    <row r="513" spans="1:30" ht="54" customHeight="1">
      <c r="A513" s="23" t="s">
        <v>31</v>
      </c>
      <c r="D513" s="15"/>
      <c r="E513" s="15"/>
      <c r="F513" s="15"/>
      <c r="G513" s="15"/>
      <c r="H513" s="15"/>
      <c r="I513" s="15"/>
      <c r="J513" s="15"/>
      <c r="K513" s="15"/>
      <c r="L513" s="15"/>
      <c r="M513" s="15"/>
      <c r="N513" s="15"/>
      <c r="O513" s="15"/>
      <c r="P513" s="15"/>
      <c r="Q513" s="15"/>
      <c r="R513" s="15"/>
      <c r="S513" s="15"/>
      <c r="T513" s="15"/>
      <c r="U513" s="15"/>
      <c r="V513" s="15"/>
      <c r="W513" s="15"/>
      <c r="X513" s="15"/>
      <c r="Y513" s="15"/>
      <c r="Z513" s="15"/>
      <c r="AA513" s="15"/>
      <c r="AB513" s="15"/>
      <c r="AC513" s="15"/>
      <c r="AD513" s="15"/>
    </row>
    <row r="514" spans="1:30" s="116" customFormat="1" ht="23.4" customHeight="1" outlineLevel="1">
      <c r="A514" s="146" t="s">
        <v>342</v>
      </c>
      <c r="B514" s="114"/>
      <c r="C514" s="40"/>
      <c r="D514" s="115"/>
      <c r="E514" s="115"/>
      <c r="F514" s="115"/>
      <c r="G514" s="115"/>
      <c r="H514" s="115"/>
      <c r="I514" s="115"/>
      <c r="J514" s="115"/>
      <c r="K514" s="115"/>
      <c r="L514" s="115"/>
      <c r="M514" s="115"/>
      <c r="N514" s="115"/>
      <c r="O514" s="115"/>
      <c r="P514" s="115"/>
      <c r="Q514" s="115"/>
      <c r="R514" s="115"/>
      <c r="S514" s="115"/>
      <c r="T514" s="115"/>
      <c r="U514" s="115"/>
      <c r="V514" s="115"/>
      <c r="W514" s="115"/>
      <c r="X514" s="115"/>
      <c r="Y514" s="115"/>
      <c r="Z514" s="115"/>
      <c r="AA514" s="115"/>
      <c r="AB514" s="115"/>
      <c r="AC514" s="115"/>
      <c r="AD514" s="115"/>
    </row>
    <row r="515" spans="1:30" outlineLevel="1">
      <c r="A515" s="13" t="s">
        <v>561</v>
      </c>
      <c r="D515" s="15"/>
      <c r="E515" s="15"/>
      <c r="F515" s="15"/>
      <c r="G515" s="15"/>
      <c r="H515" s="15"/>
      <c r="I515" s="15"/>
      <c r="J515" s="15"/>
      <c r="K515" s="15"/>
      <c r="L515" s="15"/>
      <c r="M515" s="15"/>
      <c r="N515" s="15"/>
      <c r="O515" s="15"/>
      <c r="P515" s="15"/>
      <c r="Q515" s="15"/>
      <c r="R515" s="15"/>
      <c r="S515" s="15"/>
      <c r="T515" s="15"/>
      <c r="U515" s="15"/>
      <c r="V515" s="15"/>
      <c r="W515" s="15"/>
      <c r="X515" s="15"/>
      <c r="Y515" s="15"/>
      <c r="Z515" s="15"/>
      <c r="AA515" s="15"/>
      <c r="AB515" s="15"/>
      <c r="AC515" s="15"/>
      <c r="AD515" s="15"/>
    </row>
    <row r="516" spans="1:30" s="62" customFormat="1" ht="14.5" outlineLevel="1">
      <c r="A516" s="291" t="s">
        <v>345</v>
      </c>
      <c r="B516" s="60"/>
      <c r="C516" s="42"/>
      <c r="D516" s="61"/>
      <c r="E516" s="61"/>
      <c r="F516" s="61"/>
      <c r="G516" s="61"/>
      <c r="H516" s="61"/>
      <c r="I516" s="61"/>
      <c r="J516" s="61"/>
      <c r="K516" s="61"/>
      <c r="L516" s="61"/>
      <c r="M516" s="61"/>
      <c r="N516" s="61"/>
      <c r="O516" s="61"/>
      <c r="P516" s="61"/>
      <c r="Q516" s="61"/>
      <c r="R516" s="61"/>
      <c r="S516" s="61"/>
      <c r="T516" s="61"/>
      <c r="U516" s="61"/>
      <c r="V516" s="61"/>
      <c r="W516" s="61"/>
      <c r="X516" s="61"/>
      <c r="Y516" s="61"/>
      <c r="Z516" s="61"/>
      <c r="AA516" s="61"/>
      <c r="AB516" s="61"/>
      <c r="AC516" s="61"/>
      <c r="AD516" s="61"/>
    </row>
    <row r="517" spans="1:30" outlineLevel="1">
      <c r="A517" s="214" t="s">
        <v>173</v>
      </c>
      <c r="B517" s="214" t="s">
        <v>126</v>
      </c>
      <c r="C517" s="42"/>
      <c r="D517" s="219">
        <v>33</v>
      </c>
      <c r="E517" s="219">
        <f t="shared" ref="E517:AD518" si="205">D517</f>
        <v>33</v>
      </c>
      <c r="F517" s="219">
        <f t="shared" si="205"/>
        <v>33</v>
      </c>
      <c r="G517" s="219">
        <f t="shared" si="205"/>
        <v>33</v>
      </c>
      <c r="H517" s="219">
        <f t="shared" si="205"/>
        <v>33</v>
      </c>
      <c r="I517" s="219">
        <f t="shared" si="205"/>
        <v>33</v>
      </c>
      <c r="J517" s="219">
        <f t="shared" si="205"/>
        <v>33</v>
      </c>
      <c r="K517" s="219">
        <f t="shared" si="205"/>
        <v>33</v>
      </c>
      <c r="L517" s="219">
        <f t="shared" si="205"/>
        <v>33</v>
      </c>
      <c r="M517" s="219">
        <f t="shared" si="205"/>
        <v>33</v>
      </c>
      <c r="N517" s="219">
        <f t="shared" si="205"/>
        <v>33</v>
      </c>
      <c r="O517" s="219">
        <f t="shared" si="205"/>
        <v>33</v>
      </c>
      <c r="P517" s="219">
        <f t="shared" si="205"/>
        <v>33</v>
      </c>
      <c r="Q517" s="219">
        <f t="shared" si="205"/>
        <v>33</v>
      </c>
      <c r="R517" s="219">
        <f t="shared" si="205"/>
        <v>33</v>
      </c>
      <c r="S517" s="219">
        <f t="shared" si="205"/>
        <v>33</v>
      </c>
      <c r="T517" s="219">
        <f t="shared" si="205"/>
        <v>33</v>
      </c>
      <c r="U517" s="219">
        <f t="shared" si="205"/>
        <v>33</v>
      </c>
      <c r="V517" s="219">
        <f t="shared" si="205"/>
        <v>33</v>
      </c>
      <c r="W517" s="219">
        <f t="shared" si="205"/>
        <v>33</v>
      </c>
      <c r="X517" s="219">
        <f t="shared" si="205"/>
        <v>33</v>
      </c>
      <c r="Y517" s="219">
        <f t="shared" si="205"/>
        <v>33</v>
      </c>
      <c r="Z517" s="219">
        <f t="shared" si="205"/>
        <v>33</v>
      </c>
      <c r="AA517" s="219">
        <f t="shared" si="205"/>
        <v>33</v>
      </c>
      <c r="AB517" s="219">
        <f t="shared" si="205"/>
        <v>33</v>
      </c>
      <c r="AC517" s="219">
        <f t="shared" si="205"/>
        <v>33</v>
      </c>
      <c r="AD517" s="219">
        <f t="shared" si="205"/>
        <v>33</v>
      </c>
    </row>
    <row r="518" spans="1:30" outlineLevel="1">
      <c r="A518" s="214" t="s">
        <v>175</v>
      </c>
      <c r="B518" s="214" t="s">
        <v>334</v>
      </c>
      <c r="C518" s="42"/>
      <c r="D518" s="219">
        <v>135</v>
      </c>
      <c r="E518" s="219">
        <f t="shared" si="205"/>
        <v>135</v>
      </c>
      <c r="F518" s="219">
        <f t="shared" si="205"/>
        <v>135</v>
      </c>
      <c r="G518" s="219">
        <f t="shared" si="205"/>
        <v>135</v>
      </c>
      <c r="H518" s="219">
        <f t="shared" si="205"/>
        <v>135</v>
      </c>
      <c r="I518" s="219">
        <f t="shared" si="205"/>
        <v>135</v>
      </c>
      <c r="J518" s="219">
        <f t="shared" si="205"/>
        <v>135</v>
      </c>
      <c r="K518" s="219">
        <f t="shared" si="205"/>
        <v>135</v>
      </c>
      <c r="L518" s="219">
        <f t="shared" si="205"/>
        <v>135</v>
      </c>
      <c r="M518" s="219">
        <f t="shared" si="205"/>
        <v>135</v>
      </c>
      <c r="N518" s="219">
        <f t="shared" si="205"/>
        <v>135</v>
      </c>
      <c r="O518" s="219">
        <f t="shared" si="205"/>
        <v>135</v>
      </c>
      <c r="P518" s="219">
        <f t="shared" si="205"/>
        <v>135</v>
      </c>
      <c r="Q518" s="219">
        <f t="shared" si="205"/>
        <v>135</v>
      </c>
      <c r="R518" s="219">
        <f t="shared" si="205"/>
        <v>135</v>
      </c>
      <c r="S518" s="219">
        <f t="shared" si="205"/>
        <v>135</v>
      </c>
      <c r="T518" s="219">
        <f t="shared" si="205"/>
        <v>135</v>
      </c>
      <c r="U518" s="219">
        <f t="shared" si="205"/>
        <v>135</v>
      </c>
      <c r="V518" s="219">
        <f t="shared" si="205"/>
        <v>135</v>
      </c>
      <c r="W518" s="219">
        <f t="shared" si="205"/>
        <v>135</v>
      </c>
      <c r="X518" s="219">
        <f t="shared" si="205"/>
        <v>135</v>
      </c>
      <c r="Y518" s="219">
        <f t="shared" si="205"/>
        <v>135</v>
      </c>
      <c r="Z518" s="219">
        <f t="shared" si="205"/>
        <v>135</v>
      </c>
      <c r="AA518" s="219">
        <f t="shared" si="205"/>
        <v>135</v>
      </c>
      <c r="AB518" s="219">
        <f t="shared" si="205"/>
        <v>135</v>
      </c>
      <c r="AC518" s="219">
        <f t="shared" si="205"/>
        <v>135</v>
      </c>
      <c r="AD518" s="219">
        <f t="shared" si="205"/>
        <v>135</v>
      </c>
    </row>
    <row r="519" spans="1:30" s="45" customFormat="1" outlineLevel="1">
      <c r="A519" s="45" t="str">
        <f>A516</f>
        <v>Labour - Management &amp; Overheads</v>
      </c>
      <c r="B519" s="13" t="s">
        <v>284</v>
      </c>
      <c r="C519" s="42">
        <f>SUM(D519:AD519)</f>
        <v>120.28499999999997</v>
      </c>
      <c r="D519" s="56">
        <f t="shared" ref="D519:AD519" si="206">D517*D518/1000</f>
        <v>4.4550000000000001</v>
      </c>
      <c r="E519" s="56">
        <f t="shared" si="206"/>
        <v>4.4550000000000001</v>
      </c>
      <c r="F519" s="56">
        <f t="shared" si="206"/>
        <v>4.4550000000000001</v>
      </c>
      <c r="G519" s="56">
        <f t="shared" si="206"/>
        <v>4.4550000000000001</v>
      </c>
      <c r="H519" s="56">
        <f t="shared" si="206"/>
        <v>4.4550000000000001</v>
      </c>
      <c r="I519" s="56">
        <f t="shared" si="206"/>
        <v>4.4550000000000001</v>
      </c>
      <c r="J519" s="56">
        <f t="shared" si="206"/>
        <v>4.4550000000000001</v>
      </c>
      <c r="K519" s="56">
        <f t="shared" si="206"/>
        <v>4.4550000000000001</v>
      </c>
      <c r="L519" s="56">
        <f t="shared" si="206"/>
        <v>4.4550000000000001</v>
      </c>
      <c r="M519" s="56">
        <f t="shared" si="206"/>
        <v>4.4550000000000001</v>
      </c>
      <c r="N519" s="56">
        <f t="shared" si="206"/>
        <v>4.4550000000000001</v>
      </c>
      <c r="O519" s="56">
        <f t="shared" si="206"/>
        <v>4.4550000000000001</v>
      </c>
      <c r="P519" s="56">
        <f t="shared" si="206"/>
        <v>4.4550000000000001</v>
      </c>
      <c r="Q519" s="56">
        <f t="shared" si="206"/>
        <v>4.4550000000000001</v>
      </c>
      <c r="R519" s="56">
        <f t="shared" si="206"/>
        <v>4.4550000000000001</v>
      </c>
      <c r="S519" s="56">
        <f t="shared" si="206"/>
        <v>4.4550000000000001</v>
      </c>
      <c r="T519" s="56">
        <f t="shared" si="206"/>
        <v>4.4550000000000001</v>
      </c>
      <c r="U519" s="56">
        <f t="shared" si="206"/>
        <v>4.4550000000000001</v>
      </c>
      <c r="V519" s="56">
        <f t="shared" si="206"/>
        <v>4.4550000000000001</v>
      </c>
      <c r="W519" s="56">
        <f t="shared" si="206"/>
        <v>4.4550000000000001</v>
      </c>
      <c r="X519" s="56">
        <f t="shared" si="206"/>
        <v>4.4550000000000001</v>
      </c>
      <c r="Y519" s="56">
        <f t="shared" si="206"/>
        <v>4.4550000000000001</v>
      </c>
      <c r="Z519" s="56">
        <f t="shared" si="206"/>
        <v>4.4550000000000001</v>
      </c>
      <c r="AA519" s="56">
        <f t="shared" si="206"/>
        <v>4.4550000000000001</v>
      </c>
      <c r="AB519" s="56">
        <f t="shared" si="206"/>
        <v>4.4550000000000001</v>
      </c>
      <c r="AC519" s="56">
        <f t="shared" si="206"/>
        <v>4.4550000000000001</v>
      </c>
      <c r="AD519" s="56">
        <f t="shared" si="206"/>
        <v>4.4550000000000001</v>
      </c>
    </row>
    <row r="520" spans="1:30" s="62" customFormat="1" ht="14.5" outlineLevel="1">
      <c r="A520" s="291" t="s">
        <v>370</v>
      </c>
      <c r="B520" s="60"/>
      <c r="C520" s="42"/>
      <c r="D520" s="61"/>
      <c r="E520" s="61"/>
      <c r="F520" s="61"/>
      <c r="G520" s="61"/>
      <c r="H520" s="61"/>
      <c r="I520" s="61"/>
      <c r="J520" s="61"/>
      <c r="K520" s="61"/>
      <c r="L520" s="61"/>
      <c r="M520" s="61"/>
      <c r="N520" s="61"/>
      <c r="O520" s="61"/>
      <c r="P520" s="61"/>
      <c r="Q520" s="61"/>
      <c r="R520" s="61"/>
      <c r="S520" s="61"/>
      <c r="T520" s="61"/>
      <c r="U520" s="61"/>
      <c r="V520" s="61"/>
      <c r="W520" s="61"/>
      <c r="X520" s="61"/>
      <c r="Y520" s="61"/>
      <c r="Z520" s="61"/>
      <c r="AA520" s="61"/>
      <c r="AB520" s="61"/>
      <c r="AC520" s="61"/>
      <c r="AD520" s="61"/>
    </row>
    <row r="521" spans="1:30" outlineLevel="1">
      <c r="A521" s="214" t="s">
        <v>176</v>
      </c>
      <c r="B521" s="214" t="s">
        <v>126</v>
      </c>
      <c r="C521" s="42"/>
      <c r="D521" s="219">
        <v>12</v>
      </c>
      <c r="E521" s="219">
        <f t="shared" ref="E521:AD522" si="207">D521</f>
        <v>12</v>
      </c>
      <c r="F521" s="219">
        <f t="shared" si="207"/>
        <v>12</v>
      </c>
      <c r="G521" s="219">
        <f t="shared" si="207"/>
        <v>12</v>
      </c>
      <c r="H521" s="219">
        <f t="shared" si="207"/>
        <v>12</v>
      </c>
      <c r="I521" s="219">
        <f t="shared" si="207"/>
        <v>12</v>
      </c>
      <c r="J521" s="219">
        <f t="shared" si="207"/>
        <v>12</v>
      </c>
      <c r="K521" s="219">
        <f t="shared" si="207"/>
        <v>12</v>
      </c>
      <c r="L521" s="219">
        <f t="shared" si="207"/>
        <v>12</v>
      </c>
      <c r="M521" s="219">
        <f t="shared" si="207"/>
        <v>12</v>
      </c>
      <c r="N521" s="219">
        <f t="shared" si="207"/>
        <v>12</v>
      </c>
      <c r="O521" s="219">
        <f t="shared" si="207"/>
        <v>12</v>
      </c>
      <c r="P521" s="219">
        <f t="shared" si="207"/>
        <v>12</v>
      </c>
      <c r="Q521" s="219">
        <f t="shared" si="207"/>
        <v>12</v>
      </c>
      <c r="R521" s="219">
        <f t="shared" si="207"/>
        <v>12</v>
      </c>
      <c r="S521" s="219">
        <f t="shared" si="207"/>
        <v>12</v>
      </c>
      <c r="T521" s="219">
        <f t="shared" si="207"/>
        <v>12</v>
      </c>
      <c r="U521" s="219">
        <f t="shared" si="207"/>
        <v>12</v>
      </c>
      <c r="V521" s="219">
        <f t="shared" si="207"/>
        <v>12</v>
      </c>
      <c r="W521" s="219">
        <f t="shared" si="207"/>
        <v>12</v>
      </c>
      <c r="X521" s="219">
        <f t="shared" si="207"/>
        <v>12</v>
      </c>
      <c r="Y521" s="219">
        <f t="shared" si="207"/>
        <v>12</v>
      </c>
      <c r="Z521" s="219">
        <f t="shared" si="207"/>
        <v>12</v>
      </c>
      <c r="AA521" s="219">
        <f t="shared" si="207"/>
        <v>12</v>
      </c>
      <c r="AB521" s="219">
        <f t="shared" si="207"/>
        <v>12</v>
      </c>
      <c r="AC521" s="219">
        <f t="shared" si="207"/>
        <v>12</v>
      </c>
      <c r="AD521" s="219">
        <f t="shared" si="207"/>
        <v>12</v>
      </c>
    </row>
    <row r="522" spans="1:30" outlineLevel="1">
      <c r="A522" s="214" t="s">
        <v>177</v>
      </c>
      <c r="B522" s="214" t="s">
        <v>126</v>
      </c>
      <c r="C522" s="42"/>
      <c r="D522" s="219">
        <v>4</v>
      </c>
      <c r="E522" s="219">
        <f t="shared" si="207"/>
        <v>4</v>
      </c>
      <c r="F522" s="219">
        <f t="shared" si="207"/>
        <v>4</v>
      </c>
      <c r="G522" s="219">
        <f t="shared" si="207"/>
        <v>4</v>
      </c>
      <c r="H522" s="219">
        <f t="shared" si="207"/>
        <v>4</v>
      </c>
      <c r="I522" s="219">
        <f t="shared" si="207"/>
        <v>4</v>
      </c>
      <c r="J522" s="219">
        <f t="shared" si="207"/>
        <v>4</v>
      </c>
      <c r="K522" s="219">
        <f t="shared" si="207"/>
        <v>4</v>
      </c>
      <c r="L522" s="219">
        <f t="shared" si="207"/>
        <v>4</v>
      </c>
      <c r="M522" s="219">
        <f t="shared" si="207"/>
        <v>4</v>
      </c>
      <c r="N522" s="219">
        <f t="shared" si="207"/>
        <v>4</v>
      </c>
      <c r="O522" s="219">
        <f t="shared" si="207"/>
        <v>4</v>
      </c>
      <c r="P522" s="219">
        <f t="shared" si="207"/>
        <v>4</v>
      </c>
      <c r="Q522" s="219">
        <f t="shared" si="207"/>
        <v>4</v>
      </c>
      <c r="R522" s="219">
        <f t="shared" si="207"/>
        <v>4</v>
      </c>
      <c r="S522" s="219">
        <f t="shared" si="207"/>
        <v>4</v>
      </c>
      <c r="T522" s="219">
        <f t="shared" si="207"/>
        <v>4</v>
      </c>
      <c r="U522" s="219">
        <f t="shared" si="207"/>
        <v>4</v>
      </c>
      <c r="V522" s="219">
        <f t="shared" si="207"/>
        <v>4</v>
      </c>
      <c r="W522" s="219">
        <f t="shared" si="207"/>
        <v>4</v>
      </c>
      <c r="X522" s="219">
        <f t="shared" si="207"/>
        <v>4</v>
      </c>
      <c r="Y522" s="219">
        <f t="shared" si="207"/>
        <v>4</v>
      </c>
      <c r="Z522" s="219">
        <f t="shared" si="207"/>
        <v>4</v>
      </c>
      <c r="AA522" s="219">
        <f t="shared" si="207"/>
        <v>4</v>
      </c>
      <c r="AB522" s="219">
        <f t="shared" si="207"/>
        <v>4</v>
      </c>
      <c r="AC522" s="219">
        <f t="shared" si="207"/>
        <v>4</v>
      </c>
      <c r="AD522" s="219">
        <f t="shared" si="207"/>
        <v>4</v>
      </c>
    </row>
    <row r="523" spans="1:30" s="45" customFormat="1" outlineLevel="1">
      <c r="A523" s="45" t="s">
        <v>174</v>
      </c>
      <c r="B523" s="13" t="s">
        <v>126</v>
      </c>
      <c r="C523" s="42"/>
      <c r="D523" s="42">
        <f t="shared" ref="D523:AD523" si="208">SUM(D521:D522)</f>
        <v>16</v>
      </c>
      <c r="E523" s="42">
        <f t="shared" si="208"/>
        <v>16</v>
      </c>
      <c r="F523" s="42">
        <f t="shared" si="208"/>
        <v>16</v>
      </c>
      <c r="G523" s="42">
        <f t="shared" si="208"/>
        <v>16</v>
      </c>
      <c r="H523" s="42">
        <f t="shared" si="208"/>
        <v>16</v>
      </c>
      <c r="I523" s="42">
        <f t="shared" si="208"/>
        <v>16</v>
      </c>
      <c r="J523" s="42">
        <f t="shared" si="208"/>
        <v>16</v>
      </c>
      <c r="K523" s="42">
        <f t="shared" si="208"/>
        <v>16</v>
      </c>
      <c r="L523" s="42">
        <f t="shared" si="208"/>
        <v>16</v>
      </c>
      <c r="M523" s="42">
        <f t="shared" si="208"/>
        <v>16</v>
      </c>
      <c r="N523" s="42">
        <f t="shared" si="208"/>
        <v>16</v>
      </c>
      <c r="O523" s="42">
        <f t="shared" si="208"/>
        <v>16</v>
      </c>
      <c r="P523" s="42">
        <f t="shared" si="208"/>
        <v>16</v>
      </c>
      <c r="Q523" s="42">
        <f t="shared" si="208"/>
        <v>16</v>
      </c>
      <c r="R523" s="42">
        <f t="shared" si="208"/>
        <v>16</v>
      </c>
      <c r="S523" s="42">
        <f t="shared" si="208"/>
        <v>16</v>
      </c>
      <c r="T523" s="42">
        <f t="shared" si="208"/>
        <v>16</v>
      </c>
      <c r="U523" s="42">
        <f t="shared" si="208"/>
        <v>16</v>
      </c>
      <c r="V523" s="42">
        <f t="shared" si="208"/>
        <v>16</v>
      </c>
      <c r="W523" s="42">
        <f t="shared" si="208"/>
        <v>16</v>
      </c>
      <c r="X523" s="42">
        <f t="shared" si="208"/>
        <v>16</v>
      </c>
      <c r="Y523" s="42">
        <f t="shared" si="208"/>
        <v>16</v>
      </c>
      <c r="Z523" s="42">
        <f t="shared" si="208"/>
        <v>16</v>
      </c>
      <c r="AA523" s="42">
        <f t="shared" si="208"/>
        <v>16</v>
      </c>
      <c r="AB523" s="42">
        <f t="shared" si="208"/>
        <v>16</v>
      </c>
      <c r="AC523" s="42">
        <f t="shared" si="208"/>
        <v>16</v>
      </c>
      <c r="AD523" s="42">
        <f t="shared" si="208"/>
        <v>16</v>
      </c>
    </row>
    <row r="524" spans="1:30" outlineLevel="1">
      <c r="A524" s="214" t="s">
        <v>127</v>
      </c>
      <c r="B524" s="214" t="s">
        <v>334</v>
      </c>
      <c r="C524" s="42"/>
      <c r="D524" s="219">
        <v>150</v>
      </c>
      <c r="E524" s="219">
        <f t="shared" ref="E524:AD524" si="209">D524</f>
        <v>150</v>
      </c>
      <c r="F524" s="219">
        <f t="shared" si="209"/>
        <v>150</v>
      </c>
      <c r="G524" s="219">
        <f t="shared" si="209"/>
        <v>150</v>
      </c>
      <c r="H524" s="219">
        <f t="shared" si="209"/>
        <v>150</v>
      </c>
      <c r="I524" s="219">
        <f t="shared" si="209"/>
        <v>150</v>
      </c>
      <c r="J524" s="219">
        <f t="shared" si="209"/>
        <v>150</v>
      </c>
      <c r="K524" s="219">
        <f t="shared" si="209"/>
        <v>150</v>
      </c>
      <c r="L524" s="219">
        <f t="shared" si="209"/>
        <v>150</v>
      </c>
      <c r="M524" s="219">
        <f t="shared" si="209"/>
        <v>150</v>
      </c>
      <c r="N524" s="219">
        <f t="shared" si="209"/>
        <v>150</v>
      </c>
      <c r="O524" s="219">
        <f t="shared" si="209"/>
        <v>150</v>
      </c>
      <c r="P524" s="219">
        <f t="shared" si="209"/>
        <v>150</v>
      </c>
      <c r="Q524" s="219">
        <f t="shared" si="209"/>
        <v>150</v>
      </c>
      <c r="R524" s="219">
        <f t="shared" si="209"/>
        <v>150</v>
      </c>
      <c r="S524" s="219">
        <f t="shared" si="209"/>
        <v>150</v>
      </c>
      <c r="T524" s="219">
        <f t="shared" si="209"/>
        <v>150</v>
      </c>
      <c r="U524" s="219">
        <f t="shared" si="209"/>
        <v>150</v>
      </c>
      <c r="V524" s="219">
        <f t="shared" si="209"/>
        <v>150</v>
      </c>
      <c r="W524" s="219">
        <f t="shared" si="209"/>
        <v>150</v>
      </c>
      <c r="X524" s="219">
        <f t="shared" si="209"/>
        <v>150</v>
      </c>
      <c r="Y524" s="219">
        <f t="shared" si="209"/>
        <v>150</v>
      </c>
      <c r="Z524" s="219">
        <f t="shared" si="209"/>
        <v>150</v>
      </c>
      <c r="AA524" s="219">
        <f t="shared" si="209"/>
        <v>150</v>
      </c>
      <c r="AB524" s="219">
        <f t="shared" si="209"/>
        <v>150</v>
      </c>
      <c r="AC524" s="219">
        <f t="shared" si="209"/>
        <v>150</v>
      </c>
      <c r="AD524" s="219">
        <f t="shared" si="209"/>
        <v>150</v>
      </c>
    </row>
    <row r="525" spans="1:30" s="45" customFormat="1" outlineLevel="1">
      <c r="A525" s="45" t="str">
        <f>A520</f>
        <v>Labour - Logistics &amp; warehouse</v>
      </c>
      <c r="B525" s="13" t="s">
        <v>284</v>
      </c>
      <c r="C525" s="42">
        <f>SUM(D525:AD525)</f>
        <v>64.799999999999983</v>
      </c>
      <c r="D525" s="56">
        <f t="shared" ref="D525:AD525" si="210">D523*D524/1000</f>
        <v>2.4</v>
      </c>
      <c r="E525" s="56">
        <f t="shared" si="210"/>
        <v>2.4</v>
      </c>
      <c r="F525" s="56">
        <f t="shared" si="210"/>
        <v>2.4</v>
      </c>
      <c r="G525" s="56">
        <f t="shared" si="210"/>
        <v>2.4</v>
      </c>
      <c r="H525" s="56">
        <f t="shared" si="210"/>
        <v>2.4</v>
      </c>
      <c r="I525" s="56">
        <f t="shared" si="210"/>
        <v>2.4</v>
      </c>
      <c r="J525" s="56">
        <f t="shared" si="210"/>
        <v>2.4</v>
      </c>
      <c r="K525" s="56">
        <f t="shared" si="210"/>
        <v>2.4</v>
      </c>
      <c r="L525" s="56">
        <f t="shared" si="210"/>
        <v>2.4</v>
      </c>
      <c r="M525" s="56">
        <f t="shared" si="210"/>
        <v>2.4</v>
      </c>
      <c r="N525" s="56">
        <f t="shared" si="210"/>
        <v>2.4</v>
      </c>
      <c r="O525" s="56">
        <f t="shared" si="210"/>
        <v>2.4</v>
      </c>
      <c r="P525" s="56">
        <f t="shared" si="210"/>
        <v>2.4</v>
      </c>
      <c r="Q525" s="56">
        <f t="shared" si="210"/>
        <v>2.4</v>
      </c>
      <c r="R525" s="56">
        <f t="shared" si="210"/>
        <v>2.4</v>
      </c>
      <c r="S525" s="56">
        <f t="shared" si="210"/>
        <v>2.4</v>
      </c>
      <c r="T525" s="56">
        <f t="shared" si="210"/>
        <v>2.4</v>
      </c>
      <c r="U525" s="56">
        <f t="shared" si="210"/>
        <v>2.4</v>
      </c>
      <c r="V525" s="56">
        <f t="shared" si="210"/>
        <v>2.4</v>
      </c>
      <c r="W525" s="56">
        <f t="shared" si="210"/>
        <v>2.4</v>
      </c>
      <c r="X525" s="56">
        <f t="shared" si="210"/>
        <v>2.4</v>
      </c>
      <c r="Y525" s="56">
        <f t="shared" si="210"/>
        <v>2.4</v>
      </c>
      <c r="Z525" s="56">
        <f t="shared" si="210"/>
        <v>2.4</v>
      </c>
      <c r="AA525" s="56">
        <f t="shared" si="210"/>
        <v>2.4</v>
      </c>
      <c r="AB525" s="56">
        <f t="shared" si="210"/>
        <v>2.4</v>
      </c>
      <c r="AC525" s="56">
        <f t="shared" si="210"/>
        <v>2.4</v>
      </c>
      <c r="AD525" s="56">
        <f t="shared" si="210"/>
        <v>2.4</v>
      </c>
    </row>
    <row r="526" spans="1:30" s="62" customFormat="1" ht="14.5" outlineLevel="1">
      <c r="A526" s="291" t="s">
        <v>346</v>
      </c>
      <c r="B526" s="60"/>
      <c r="C526" s="42"/>
      <c r="D526" s="61"/>
      <c r="E526" s="61"/>
      <c r="F526" s="61"/>
      <c r="G526" s="61"/>
      <c r="H526" s="61"/>
      <c r="I526" s="61"/>
      <c r="J526" s="61"/>
      <c r="K526" s="61"/>
      <c r="L526" s="61"/>
      <c r="M526" s="61"/>
      <c r="N526" s="61"/>
      <c r="O526" s="61"/>
      <c r="P526" s="61"/>
      <c r="Q526" s="61"/>
      <c r="R526" s="61"/>
      <c r="S526" s="61"/>
      <c r="T526" s="61"/>
      <c r="U526" s="61"/>
      <c r="V526" s="61"/>
      <c r="W526" s="61"/>
      <c r="X526" s="61"/>
      <c r="Y526" s="61"/>
      <c r="Z526" s="61"/>
      <c r="AA526" s="61"/>
      <c r="AB526" s="61"/>
      <c r="AC526" s="61"/>
      <c r="AD526" s="61"/>
    </row>
    <row r="527" spans="1:30" outlineLevel="1">
      <c r="A527" s="214" t="s">
        <v>178</v>
      </c>
      <c r="B527" s="214" t="s">
        <v>126</v>
      </c>
      <c r="C527" s="42"/>
      <c r="D527" s="219">
        <v>92</v>
      </c>
      <c r="E527" s="219">
        <f t="shared" ref="E527:AD528" si="211">D527</f>
        <v>92</v>
      </c>
      <c r="F527" s="219">
        <f t="shared" si="211"/>
        <v>92</v>
      </c>
      <c r="G527" s="219">
        <f t="shared" si="211"/>
        <v>92</v>
      </c>
      <c r="H527" s="219">
        <f t="shared" si="211"/>
        <v>92</v>
      </c>
      <c r="I527" s="219">
        <f t="shared" si="211"/>
        <v>92</v>
      </c>
      <c r="J527" s="219">
        <f t="shared" si="211"/>
        <v>92</v>
      </c>
      <c r="K527" s="219">
        <f t="shared" si="211"/>
        <v>92</v>
      </c>
      <c r="L527" s="219">
        <f t="shared" si="211"/>
        <v>92</v>
      </c>
      <c r="M527" s="219">
        <f t="shared" si="211"/>
        <v>92</v>
      </c>
      <c r="N527" s="219">
        <f t="shared" si="211"/>
        <v>92</v>
      </c>
      <c r="O527" s="219">
        <f t="shared" si="211"/>
        <v>92</v>
      </c>
      <c r="P527" s="219">
        <f t="shared" si="211"/>
        <v>92</v>
      </c>
      <c r="Q527" s="219">
        <f t="shared" si="211"/>
        <v>92</v>
      </c>
      <c r="R527" s="219">
        <f t="shared" si="211"/>
        <v>92</v>
      </c>
      <c r="S527" s="219">
        <f t="shared" si="211"/>
        <v>92</v>
      </c>
      <c r="T527" s="219">
        <f t="shared" si="211"/>
        <v>92</v>
      </c>
      <c r="U527" s="219">
        <f t="shared" si="211"/>
        <v>92</v>
      </c>
      <c r="V527" s="219">
        <f t="shared" si="211"/>
        <v>92</v>
      </c>
      <c r="W527" s="219">
        <f t="shared" si="211"/>
        <v>92</v>
      </c>
      <c r="X527" s="219">
        <f t="shared" si="211"/>
        <v>92</v>
      </c>
      <c r="Y527" s="219">
        <f t="shared" si="211"/>
        <v>92</v>
      </c>
      <c r="Z527" s="219">
        <f t="shared" si="211"/>
        <v>92</v>
      </c>
      <c r="AA527" s="219">
        <f t="shared" si="211"/>
        <v>92</v>
      </c>
      <c r="AB527" s="219">
        <f t="shared" si="211"/>
        <v>92</v>
      </c>
      <c r="AC527" s="219">
        <f t="shared" si="211"/>
        <v>92</v>
      </c>
      <c r="AD527" s="219">
        <f t="shared" si="211"/>
        <v>92</v>
      </c>
    </row>
    <row r="528" spans="1:30" outlineLevel="1">
      <c r="A528" s="214" t="s">
        <v>179</v>
      </c>
      <c r="B528" s="214" t="s">
        <v>334</v>
      </c>
      <c r="C528" s="42"/>
      <c r="D528" s="219">
        <v>140</v>
      </c>
      <c r="E528" s="219">
        <f t="shared" si="211"/>
        <v>140</v>
      </c>
      <c r="F528" s="219">
        <f t="shared" si="211"/>
        <v>140</v>
      </c>
      <c r="G528" s="219">
        <f t="shared" si="211"/>
        <v>140</v>
      </c>
      <c r="H528" s="219">
        <f t="shared" si="211"/>
        <v>140</v>
      </c>
      <c r="I528" s="219">
        <f t="shared" si="211"/>
        <v>140</v>
      </c>
      <c r="J528" s="219">
        <f t="shared" si="211"/>
        <v>140</v>
      </c>
      <c r="K528" s="219">
        <f t="shared" si="211"/>
        <v>140</v>
      </c>
      <c r="L528" s="219">
        <f t="shared" si="211"/>
        <v>140</v>
      </c>
      <c r="M528" s="219">
        <f t="shared" si="211"/>
        <v>140</v>
      </c>
      <c r="N528" s="219">
        <f t="shared" si="211"/>
        <v>140</v>
      </c>
      <c r="O528" s="219">
        <f t="shared" si="211"/>
        <v>140</v>
      </c>
      <c r="P528" s="219">
        <f t="shared" si="211"/>
        <v>140</v>
      </c>
      <c r="Q528" s="219">
        <f t="shared" si="211"/>
        <v>140</v>
      </c>
      <c r="R528" s="219">
        <f t="shared" si="211"/>
        <v>140</v>
      </c>
      <c r="S528" s="219">
        <f t="shared" si="211"/>
        <v>140</v>
      </c>
      <c r="T528" s="219">
        <f t="shared" si="211"/>
        <v>140</v>
      </c>
      <c r="U528" s="219">
        <f t="shared" si="211"/>
        <v>140</v>
      </c>
      <c r="V528" s="219">
        <f t="shared" si="211"/>
        <v>140</v>
      </c>
      <c r="W528" s="219">
        <f t="shared" si="211"/>
        <v>140</v>
      </c>
      <c r="X528" s="219">
        <f t="shared" si="211"/>
        <v>140</v>
      </c>
      <c r="Y528" s="219">
        <f t="shared" si="211"/>
        <v>140</v>
      </c>
      <c r="Z528" s="219">
        <f t="shared" si="211"/>
        <v>140</v>
      </c>
      <c r="AA528" s="219">
        <f t="shared" si="211"/>
        <v>140</v>
      </c>
      <c r="AB528" s="219">
        <f t="shared" si="211"/>
        <v>140</v>
      </c>
      <c r="AC528" s="219">
        <f t="shared" si="211"/>
        <v>140</v>
      </c>
      <c r="AD528" s="219">
        <f t="shared" si="211"/>
        <v>140</v>
      </c>
    </row>
    <row r="529" spans="1:30" s="45" customFormat="1" outlineLevel="1">
      <c r="A529" s="45" t="str">
        <f>A526</f>
        <v xml:space="preserve">Labour - Camp </v>
      </c>
      <c r="B529" s="13" t="s">
        <v>284</v>
      </c>
      <c r="C529" s="42">
        <f>SUM(D529:AD529)</f>
        <v>347.75999999999993</v>
      </c>
      <c r="D529" s="56">
        <f t="shared" ref="D529:AD529" si="212">D527*D528/1000</f>
        <v>12.88</v>
      </c>
      <c r="E529" s="56">
        <f t="shared" si="212"/>
        <v>12.88</v>
      </c>
      <c r="F529" s="56">
        <f t="shared" si="212"/>
        <v>12.88</v>
      </c>
      <c r="G529" s="56">
        <f t="shared" si="212"/>
        <v>12.88</v>
      </c>
      <c r="H529" s="56">
        <f t="shared" si="212"/>
        <v>12.88</v>
      </c>
      <c r="I529" s="56">
        <f t="shared" si="212"/>
        <v>12.88</v>
      </c>
      <c r="J529" s="56">
        <f t="shared" si="212"/>
        <v>12.88</v>
      </c>
      <c r="K529" s="56">
        <f t="shared" si="212"/>
        <v>12.88</v>
      </c>
      <c r="L529" s="56">
        <f t="shared" si="212"/>
        <v>12.88</v>
      </c>
      <c r="M529" s="56">
        <f t="shared" si="212"/>
        <v>12.88</v>
      </c>
      <c r="N529" s="56">
        <f t="shared" si="212"/>
        <v>12.88</v>
      </c>
      <c r="O529" s="56">
        <f t="shared" si="212"/>
        <v>12.88</v>
      </c>
      <c r="P529" s="56">
        <f t="shared" si="212"/>
        <v>12.88</v>
      </c>
      <c r="Q529" s="56">
        <f t="shared" si="212"/>
        <v>12.88</v>
      </c>
      <c r="R529" s="56">
        <f t="shared" si="212"/>
        <v>12.88</v>
      </c>
      <c r="S529" s="56">
        <f t="shared" si="212"/>
        <v>12.88</v>
      </c>
      <c r="T529" s="56">
        <f t="shared" si="212"/>
        <v>12.88</v>
      </c>
      <c r="U529" s="56">
        <f t="shared" si="212"/>
        <v>12.88</v>
      </c>
      <c r="V529" s="56">
        <f t="shared" si="212"/>
        <v>12.88</v>
      </c>
      <c r="W529" s="56">
        <f t="shared" si="212"/>
        <v>12.88</v>
      </c>
      <c r="X529" s="56">
        <f t="shared" si="212"/>
        <v>12.88</v>
      </c>
      <c r="Y529" s="56">
        <f t="shared" si="212"/>
        <v>12.88</v>
      </c>
      <c r="Z529" s="56">
        <f t="shared" si="212"/>
        <v>12.88</v>
      </c>
      <c r="AA529" s="56">
        <f t="shared" si="212"/>
        <v>12.88</v>
      </c>
      <c r="AB529" s="56">
        <f t="shared" si="212"/>
        <v>12.88</v>
      </c>
      <c r="AC529" s="56">
        <f t="shared" si="212"/>
        <v>12.88</v>
      </c>
      <c r="AD529" s="56">
        <f t="shared" si="212"/>
        <v>12.88</v>
      </c>
    </row>
    <row r="530" spans="1:30" s="62" customFormat="1" ht="14.5" outlineLevel="1">
      <c r="A530" s="291" t="s">
        <v>347</v>
      </c>
      <c r="B530" s="60"/>
      <c r="C530" s="42"/>
      <c r="D530" s="61"/>
      <c r="E530" s="61"/>
      <c r="F530" s="61"/>
      <c r="G530" s="61"/>
      <c r="H530" s="61"/>
      <c r="I530" s="61"/>
      <c r="J530" s="61"/>
      <c r="K530" s="61"/>
      <c r="L530" s="61"/>
      <c r="M530" s="61"/>
      <c r="N530" s="61"/>
      <c r="O530" s="61"/>
      <c r="P530" s="61"/>
      <c r="Q530" s="61"/>
      <c r="R530" s="61"/>
      <c r="S530" s="61"/>
      <c r="T530" s="61"/>
      <c r="U530" s="61"/>
      <c r="V530" s="61"/>
      <c r="W530" s="61"/>
      <c r="X530" s="61"/>
      <c r="Y530" s="61"/>
      <c r="Z530" s="61"/>
      <c r="AA530" s="61"/>
      <c r="AB530" s="61"/>
      <c r="AC530" s="61"/>
      <c r="AD530" s="61"/>
    </row>
    <row r="531" spans="1:30" outlineLevel="1">
      <c r="A531" s="214" t="s">
        <v>180</v>
      </c>
      <c r="B531" s="214" t="s">
        <v>126</v>
      </c>
      <c r="C531" s="42"/>
      <c r="D531" s="219">
        <v>9</v>
      </c>
      <c r="E531" s="219">
        <f t="shared" ref="E531:AD532" si="213">D531</f>
        <v>9</v>
      </c>
      <c r="F531" s="219">
        <f t="shared" si="213"/>
        <v>9</v>
      </c>
      <c r="G531" s="219">
        <f t="shared" si="213"/>
        <v>9</v>
      </c>
      <c r="H531" s="219">
        <f t="shared" si="213"/>
        <v>9</v>
      </c>
      <c r="I531" s="219">
        <f t="shared" si="213"/>
        <v>9</v>
      </c>
      <c r="J531" s="219">
        <f t="shared" si="213"/>
        <v>9</v>
      </c>
      <c r="K531" s="219">
        <f t="shared" si="213"/>
        <v>9</v>
      </c>
      <c r="L531" s="219">
        <f t="shared" si="213"/>
        <v>9</v>
      </c>
      <c r="M531" s="219">
        <f t="shared" si="213"/>
        <v>9</v>
      </c>
      <c r="N531" s="219">
        <f t="shared" si="213"/>
        <v>9</v>
      </c>
      <c r="O531" s="219">
        <f t="shared" si="213"/>
        <v>9</v>
      </c>
      <c r="P531" s="219">
        <f t="shared" si="213"/>
        <v>9</v>
      </c>
      <c r="Q531" s="219">
        <f t="shared" si="213"/>
        <v>9</v>
      </c>
      <c r="R531" s="219">
        <f t="shared" si="213"/>
        <v>9</v>
      </c>
      <c r="S531" s="219">
        <f t="shared" si="213"/>
        <v>9</v>
      </c>
      <c r="T531" s="219">
        <f t="shared" si="213"/>
        <v>9</v>
      </c>
      <c r="U531" s="219">
        <f t="shared" si="213"/>
        <v>9</v>
      </c>
      <c r="V531" s="219">
        <f t="shared" si="213"/>
        <v>9</v>
      </c>
      <c r="W531" s="219">
        <f t="shared" si="213"/>
        <v>9</v>
      </c>
      <c r="X531" s="219">
        <f t="shared" si="213"/>
        <v>9</v>
      </c>
      <c r="Y531" s="219">
        <f t="shared" si="213"/>
        <v>9</v>
      </c>
      <c r="Z531" s="219">
        <f t="shared" si="213"/>
        <v>9</v>
      </c>
      <c r="AA531" s="219">
        <f t="shared" si="213"/>
        <v>9</v>
      </c>
      <c r="AB531" s="219">
        <f t="shared" si="213"/>
        <v>9</v>
      </c>
      <c r="AC531" s="219">
        <f t="shared" si="213"/>
        <v>9</v>
      </c>
      <c r="AD531" s="219">
        <f t="shared" si="213"/>
        <v>9</v>
      </c>
    </row>
    <row r="532" spans="1:30" outlineLevel="1">
      <c r="A532" s="214" t="s">
        <v>181</v>
      </c>
      <c r="B532" s="214" t="s">
        <v>334</v>
      </c>
      <c r="C532" s="42"/>
      <c r="D532" s="219">
        <v>155</v>
      </c>
      <c r="E532" s="219">
        <f t="shared" si="213"/>
        <v>155</v>
      </c>
      <c r="F532" s="219">
        <f t="shared" si="213"/>
        <v>155</v>
      </c>
      <c r="G532" s="219">
        <f t="shared" si="213"/>
        <v>155</v>
      </c>
      <c r="H532" s="219">
        <f t="shared" si="213"/>
        <v>155</v>
      </c>
      <c r="I532" s="219">
        <f t="shared" si="213"/>
        <v>155</v>
      </c>
      <c r="J532" s="219">
        <f t="shared" si="213"/>
        <v>155</v>
      </c>
      <c r="K532" s="219">
        <f t="shared" si="213"/>
        <v>155</v>
      </c>
      <c r="L532" s="219">
        <f t="shared" si="213"/>
        <v>155</v>
      </c>
      <c r="M532" s="219">
        <f t="shared" si="213"/>
        <v>155</v>
      </c>
      <c r="N532" s="219">
        <f t="shared" si="213"/>
        <v>155</v>
      </c>
      <c r="O532" s="219">
        <f t="shared" si="213"/>
        <v>155</v>
      </c>
      <c r="P532" s="219">
        <f t="shared" si="213"/>
        <v>155</v>
      </c>
      <c r="Q532" s="219">
        <f t="shared" si="213"/>
        <v>155</v>
      </c>
      <c r="R532" s="219">
        <f t="shared" si="213"/>
        <v>155</v>
      </c>
      <c r="S532" s="219">
        <f t="shared" si="213"/>
        <v>155</v>
      </c>
      <c r="T532" s="219">
        <f t="shared" si="213"/>
        <v>155</v>
      </c>
      <c r="U532" s="219">
        <f t="shared" si="213"/>
        <v>155</v>
      </c>
      <c r="V532" s="219">
        <f t="shared" si="213"/>
        <v>155</v>
      </c>
      <c r="W532" s="219">
        <f t="shared" si="213"/>
        <v>155</v>
      </c>
      <c r="X532" s="219">
        <f t="shared" si="213"/>
        <v>155</v>
      </c>
      <c r="Y532" s="219">
        <f t="shared" si="213"/>
        <v>155</v>
      </c>
      <c r="Z532" s="219">
        <f t="shared" si="213"/>
        <v>155</v>
      </c>
      <c r="AA532" s="219">
        <f t="shared" si="213"/>
        <v>155</v>
      </c>
      <c r="AB532" s="219">
        <f t="shared" si="213"/>
        <v>155</v>
      </c>
      <c r="AC532" s="219">
        <f t="shared" si="213"/>
        <v>155</v>
      </c>
      <c r="AD532" s="219">
        <f t="shared" si="213"/>
        <v>155</v>
      </c>
    </row>
    <row r="533" spans="1:30" s="45" customFormat="1" outlineLevel="1">
      <c r="A533" s="45" t="str">
        <f>A530</f>
        <v>Labour - HSE &amp; Community</v>
      </c>
      <c r="B533" s="13" t="s">
        <v>284</v>
      </c>
      <c r="C533" s="42">
        <f>SUM(D533:AD533)</f>
        <v>37.665000000000006</v>
      </c>
      <c r="D533" s="56">
        <f t="shared" ref="D533:AD533" si="214">D531*D532/1000</f>
        <v>1.395</v>
      </c>
      <c r="E533" s="56">
        <f t="shared" si="214"/>
        <v>1.395</v>
      </c>
      <c r="F533" s="56">
        <f t="shared" si="214"/>
        <v>1.395</v>
      </c>
      <c r="G533" s="56">
        <f t="shared" si="214"/>
        <v>1.395</v>
      </c>
      <c r="H533" s="56">
        <f t="shared" si="214"/>
        <v>1.395</v>
      </c>
      <c r="I533" s="56">
        <f t="shared" si="214"/>
        <v>1.395</v>
      </c>
      <c r="J533" s="56">
        <f t="shared" si="214"/>
        <v>1.395</v>
      </c>
      <c r="K533" s="56">
        <f t="shared" si="214"/>
        <v>1.395</v>
      </c>
      <c r="L533" s="56">
        <f t="shared" si="214"/>
        <v>1.395</v>
      </c>
      <c r="M533" s="56">
        <f t="shared" si="214"/>
        <v>1.395</v>
      </c>
      <c r="N533" s="56">
        <f t="shared" si="214"/>
        <v>1.395</v>
      </c>
      <c r="O533" s="56">
        <f t="shared" si="214"/>
        <v>1.395</v>
      </c>
      <c r="P533" s="56">
        <f t="shared" si="214"/>
        <v>1.395</v>
      </c>
      <c r="Q533" s="56">
        <f t="shared" si="214"/>
        <v>1.395</v>
      </c>
      <c r="R533" s="56">
        <f t="shared" si="214"/>
        <v>1.395</v>
      </c>
      <c r="S533" s="56">
        <f t="shared" si="214"/>
        <v>1.395</v>
      </c>
      <c r="T533" s="56">
        <f t="shared" si="214"/>
        <v>1.395</v>
      </c>
      <c r="U533" s="56">
        <f t="shared" si="214"/>
        <v>1.395</v>
      </c>
      <c r="V533" s="56">
        <f t="shared" si="214"/>
        <v>1.395</v>
      </c>
      <c r="W533" s="56">
        <f t="shared" si="214"/>
        <v>1.395</v>
      </c>
      <c r="X533" s="56">
        <f t="shared" si="214"/>
        <v>1.395</v>
      </c>
      <c r="Y533" s="56">
        <f t="shared" si="214"/>
        <v>1.395</v>
      </c>
      <c r="Z533" s="56">
        <f t="shared" si="214"/>
        <v>1.395</v>
      </c>
      <c r="AA533" s="56">
        <f t="shared" si="214"/>
        <v>1.395</v>
      </c>
      <c r="AB533" s="56">
        <f t="shared" si="214"/>
        <v>1.395</v>
      </c>
      <c r="AC533" s="56">
        <f t="shared" si="214"/>
        <v>1.395</v>
      </c>
      <c r="AD533" s="56">
        <f t="shared" si="214"/>
        <v>1.395</v>
      </c>
    </row>
    <row r="534" spans="1:30" s="62" customFormat="1" outlineLevel="1">
      <c r="A534" s="41"/>
      <c r="B534" s="60"/>
      <c r="C534" s="42"/>
      <c r="D534" s="61"/>
      <c r="E534" s="61"/>
      <c r="F534" s="61"/>
      <c r="G534" s="61"/>
      <c r="H534" s="61"/>
      <c r="I534" s="61"/>
      <c r="J534" s="61"/>
      <c r="K534" s="61"/>
      <c r="L534" s="61"/>
      <c r="M534" s="61"/>
      <c r="N534" s="61"/>
      <c r="O534" s="61"/>
      <c r="P534" s="61"/>
      <c r="Q534" s="61"/>
      <c r="R534" s="61"/>
      <c r="S534" s="61"/>
      <c r="T534" s="61"/>
      <c r="U534" s="61"/>
      <c r="V534" s="61"/>
      <c r="W534" s="61"/>
      <c r="X534" s="61"/>
      <c r="Y534" s="61"/>
      <c r="Z534" s="61"/>
      <c r="AA534" s="61"/>
      <c r="AB534" s="61"/>
      <c r="AC534" s="61"/>
      <c r="AD534" s="61"/>
    </row>
    <row r="535" spans="1:30" s="45" customFormat="1" outlineLevel="1">
      <c r="A535" s="45" t="str">
        <f>A514</f>
        <v>Labour - G&amp;A</v>
      </c>
      <c r="B535" s="13"/>
      <c r="C535" s="42"/>
      <c r="D535" s="101">
        <f t="shared" ref="D535:AD535" si="215">D519+D525+D529+D533</f>
        <v>21.13</v>
      </c>
      <c r="E535" s="101">
        <f t="shared" si="215"/>
        <v>21.13</v>
      </c>
      <c r="F535" s="101">
        <f t="shared" si="215"/>
        <v>21.13</v>
      </c>
      <c r="G535" s="101">
        <f t="shared" si="215"/>
        <v>21.13</v>
      </c>
      <c r="H535" s="101">
        <f t="shared" si="215"/>
        <v>21.13</v>
      </c>
      <c r="I535" s="101">
        <f t="shared" si="215"/>
        <v>21.13</v>
      </c>
      <c r="J535" s="101">
        <f t="shared" si="215"/>
        <v>21.13</v>
      </c>
      <c r="K535" s="101">
        <f t="shared" si="215"/>
        <v>21.13</v>
      </c>
      <c r="L535" s="101">
        <f t="shared" si="215"/>
        <v>21.13</v>
      </c>
      <c r="M535" s="101">
        <f t="shared" si="215"/>
        <v>21.13</v>
      </c>
      <c r="N535" s="101">
        <f t="shared" si="215"/>
        <v>21.13</v>
      </c>
      <c r="O535" s="101">
        <f t="shared" si="215"/>
        <v>21.13</v>
      </c>
      <c r="P535" s="101">
        <f t="shared" si="215"/>
        <v>21.13</v>
      </c>
      <c r="Q535" s="101">
        <f t="shared" si="215"/>
        <v>21.13</v>
      </c>
      <c r="R535" s="101">
        <f t="shared" si="215"/>
        <v>21.13</v>
      </c>
      <c r="S535" s="101">
        <f t="shared" si="215"/>
        <v>21.13</v>
      </c>
      <c r="T535" s="101">
        <f t="shared" si="215"/>
        <v>21.13</v>
      </c>
      <c r="U535" s="101">
        <f t="shared" si="215"/>
        <v>21.13</v>
      </c>
      <c r="V535" s="101">
        <f t="shared" si="215"/>
        <v>21.13</v>
      </c>
      <c r="W535" s="101">
        <f t="shared" si="215"/>
        <v>21.13</v>
      </c>
      <c r="X535" s="101">
        <f t="shared" si="215"/>
        <v>21.13</v>
      </c>
      <c r="Y535" s="101">
        <f t="shared" si="215"/>
        <v>21.13</v>
      </c>
      <c r="Z535" s="101">
        <f t="shared" si="215"/>
        <v>21.13</v>
      </c>
      <c r="AA535" s="101">
        <f t="shared" si="215"/>
        <v>21.13</v>
      </c>
      <c r="AB535" s="101">
        <f t="shared" si="215"/>
        <v>21.13</v>
      </c>
      <c r="AC535" s="101">
        <f t="shared" si="215"/>
        <v>21.13</v>
      </c>
      <c r="AD535" s="101">
        <f t="shared" si="215"/>
        <v>21.13</v>
      </c>
    </row>
    <row r="536" spans="1:30" s="62" customFormat="1" outlineLevel="1">
      <c r="A536" s="41"/>
      <c r="B536" s="60"/>
      <c r="C536" s="42"/>
      <c r="D536" s="61"/>
      <c r="E536" s="61"/>
      <c r="F536" s="61"/>
      <c r="G536" s="61"/>
      <c r="H536" s="61"/>
      <c r="I536" s="61"/>
      <c r="J536" s="61"/>
      <c r="K536" s="61"/>
      <c r="L536" s="61"/>
      <c r="M536" s="61"/>
      <c r="N536" s="61"/>
      <c r="O536" s="61"/>
      <c r="P536" s="61"/>
      <c r="Q536" s="61"/>
      <c r="R536" s="61"/>
      <c r="S536" s="61"/>
      <c r="T536" s="61"/>
      <c r="U536" s="61"/>
      <c r="V536" s="61"/>
      <c r="W536" s="61"/>
      <c r="X536" s="61"/>
      <c r="Y536" s="61"/>
      <c r="Z536" s="61"/>
      <c r="AA536" s="61"/>
      <c r="AB536" s="61"/>
      <c r="AC536" s="61"/>
      <c r="AD536" s="61"/>
    </row>
    <row r="537" spans="1:30" s="116" customFormat="1" ht="23.4" customHeight="1" outlineLevel="1">
      <c r="A537" s="146" t="s">
        <v>340</v>
      </c>
      <c r="B537" s="114"/>
      <c r="C537" s="40"/>
      <c r="D537" s="115"/>
      <c r="E537" s="115"/>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row>
    <row r="538" spans="1:30" s="62" customFormat="1" outlineLevel="1">
      <c r="A538" s="13" t="s">
        <v>562</v>
      </c>
      <c r="B538" s="60"/>
      <c r="C538" s="42"/>
      <c r="D538" s="61"/>
      <c r="E538" s="61"/>
      <c r="F538" s="61"/>
      <c r="G538" s="61"/>
      <c r="H538" s="61"/>
      <c r="I538" s="61"/>
      <c r="J538" s="61"/>
      <c r="K538" s="61"/>
      <c r="L538" s="61"/>
      <c r="M538" s="61"/>
      <c r="N538" s="61"/>
      <c r="O538" s="61"/>
      <c r="P538" s="61"/>
      <c r="Q538" s="61"/>
      <c r="R538" s="61"/>
      <c r="S538" s="61"/>
      <c r="T538" s="61"/>
      <c r="U538" s="61"/>
      <c r="V538" s="61"/>
      <c r="W538" s="61"/>
      <c r="X538" s="61"/>
      <c r="Y538" s="61"/>
      <c r="Z538" s="61"/>
      <c r="AA538" s="61"/>
      <c r="AB538" s="61"/>
      <c r="AC538" s="61"/>
      <c r="AD538" s="61"/>
    </row>
    <row r="539" spans="1:30" outlineLevel="1">
      <c r="A539" s="214" t="s">
        <v>348</v>
      </c>
      <c r="B539" s="214" t="s">
        <v>172</v>
      </c>
      <c r="C539" s="42"/>
      <c r="D539" s="219">
        <v>2000</v>
      </c>
      <c r="E539" s="219">
        <f t="shared" ref="E539:AD539" si="216">D539</f>
        <v>2000</v>
      </c>
      <c r="F539" s="219">
        <f t="shared" si="216"/>
        <v>2000</v>
      </c>
      <c r="G539" s="219">
        <f t="shared" si="216"/>
        <v>2000</v>
      </c>
      <c r="H539" s="219">
        <f t="shared" si="216"/>
        <v>2000</v>
      </c>
      <c r="I539" s="219">
        <f t="shared" si="216"/>
        <v>2000</v>
      </c>
      <c r="J539" s="219">
        <f t="shared" si="216"/>
        <v>2000</v>
      </c>
      <c r="K539" s="219">
        <f t="shared" si="216"/>
        <v>2000</v>
      </c>
      <c r="L539" s="219">
        <f t="shared" si="216"/>
        <v>2000</v>
      </c>
      <c r="M539" s="219">
        <f t="shared" si="216"/>
        <v>2000</v>
      </c>
      <c r="N539" s="219">
        <f t="shared" si="216"/>
        <v>2000</v>
      </c>
      <c r="O539" s="219">
        <f t="shared" si="216"/>
        <v>2000</v>
      </c>
      <c r="P539" s="219">
        <f t="shared" si="216"/>
        <v>2000</v>
      </c>
      <c r="Q539" s="219">
        <f t="shared" si="216"/>
        <v>2000</v>
      </c>
      <c r="R539" s="219">
        <f t="shared" si="216"/>
        <v>2000</v>
      </c>
      <c r="S539" s="219">
        <f t="shared" si="216"/>
        <v>2000</v>
      </c>
      <c r="T539" s="219">
        <f t="shared" si="216"/>
        <v>2000</v>
      </c>
      <c r="U539" s="219">
        <f t="shared" si="216"/>
        <v>2000</v>
      </c>
      <c r="V539" s="219">
        <f t="shared" si="216"/>
        <v>2000</v>
      </c>
      <c r="W539" s="219">
        <f t="shared" si="216"/>
        <v>2000</v>
      </c>
      <c r="X539" s="219">
        <f t="shared" si="216"/>
        <v>2000</v>
      </c>
      <c r="Y539" s="219">
        <f t="shared" si="216"/>
        <v>2000</v>
      </c>
      <c r="Z539" s="219">
        <f t="shared" si="216"/>
        <v>2000</v>
      </c>
      <c r="AA539" s="219">
        <f t="shared" si="216"/>
        <v>2000</v>
      </c>
      <c r="AB539" s="219">
        <f t="shared" si="216"/>
        <v>2000</v>
      </c>
      <c r="AC539" s="219">
        <f t="shared" si="216"/>
        <v>2000</v>
      </c>
      <c r="AD539" s="219">
        <f t="shared" si="216"/>
        <v>2000</v>
      </c>
    </row>
    <row r="540" spans="1:30" s="45" customFormat="1" outlineLevel="1">
      <c r="A540" s="45" t="str">
        <f>A483</f>
        <v>electricity price</v>
      </c>
      <c r="B540" s="13" t="str">
        <f>B483</f>
        <v>A$ Real/ kWh</v>
      </c>
      <c r="C540" s="42"/>
      <c r="D540" s="57">
        <f t="shared" ref="D540:AD540" si="217">D483</f>
        <v>0.12</v>
      </c>
      <c r="E540" s="57">
        <f t="shared" si="217"/>
        <v>0.12</v>
      </c>
      <c r="F540" s="57">
        <f t="shared" si="217"/>
        <v>0.12</v>
      </c>
      <c r="G540" s="57">
        <f t="shared" si="217"/>
        <v>0.12</v>
      </c>
      <c r="H540" s="57">
        <f t="shared" si="217"/>
        <v>0.12</v>
      </c>
      <c r="I540" s="57">
        <f t="shared" si="217"/>
        <v>0.12</v>
      </c>
      <c r="J540" s="57">
        <f t="shared" si="217"/>
        <v>0.12</v>
      </c>
      <c r="K540" s="57">
        <f t="shared" si="217"/>
        <v>0.12</v>
      </c>
      <c r="L540" s="57">
        <f t="shared" si="217"/>
        <v>0.12</v>
      </c>
      <c r="M540" s="57">
        <f t="shared" si="217"/>
        <v>0.12</v>
      </c>
      <c r="N540" s="57">
        <f t="shared" si="217"/>
        <v>0.12</v>
      </c>
      <c r="O540" s="57">
        <f t="shared" si="217"/>
        <v>0.12</v>
      </c>
      <c r="P540" s="57">
        <f t="shared" si="217"/>
        <v>0.12</v>
      </c>
      <c r="Q540" s="57">
        <f t="shared" si="217"/>
        <v>0.12</v>
      </c>
      <c r="R540" s="57">
        <f t="shared" si="217"/>
        <v>0.12</v>
      </c>
      <c r="S540" s="57">
        <f t="shared" si="217"/>
        <v>0.12</v>
      </c>
      <c r="T540" s="57">
        <f t="shared" si="217"/>
        <v>0.12</v>
      </c>
      <c r="U540" s="57">
        <f t="shared" si="217"/>
        <v>0.12</v>
      </c>
      <c r="V540" s="57">
        <f t="shared" si="217"/>
        <v>0.12</v>
      </c>
      <c r="W540" s="57">
        <f t="shared" si="217"/>
        <v>0.12</v>
      </c>
      <c r="X540" s="57">
        <f t="shared" si="217"/>
        <v>0.12</v>
      </c>
      <c r="Y540" s="57">
        <f t="shared" si="217"/>
        <v>0.12</v>
      </c>
      <c r="Z540" s="57">
        <f t="shared" si="217"/>
        <v>0.12</v>
      </c>
      <c r="AA540" s="57">
        <f t="shared" si="217"/>
        <v>0.12</v>
      </c>
      <c r="AB540" s="57">
        <f t="shared" si="217"/>
        <v>0.12</v>
      </c>
      <c r="AC540" s="57">
        <f t="shared" si="217"/>
        <v>0.12</v>
      </c>
      <c r="AD540" s="57">
        <f t="shared" si="217"/>
        <v>0.12</v>
      </c>
    </row>
    <row r="541" spans="1:30" s="45" customFormat="1" outlineLevel="1">
      <c r="A541" s="45" t="str">
        <f>A537</f>
        <v>Electricity</v>
      </c>
      <c r="B541" s="13" t="s">
        <v>284</v>
      </c>
      <c r="C541" s="42">
        <f>SUM(D541:AD541)</f>
        <v>56.764800000000029</v>
      </c>
      <c r="D541" s="101">
        <f t="shared" ref="D541:AD541" si="218">D539*365*24*D540/1000000</f>
        <v>2.1023999999999998</v>
      </c>
      <c r="E541" s="101">
        <f t="shared" si="218"/>
        <v>2.1023999999999998</v>
      </c>
      <c r="F541" s="101">
        <f t="shared" si="218"/>
        <v>2.1023999999999998</v>
      </c>
      <c r="G541" s="101">
        <f t="shared" si="218"/>
        <v>2.1023999999999998</v>
      </c>
      <c r="H541" s="101">
        <f t="shared" si="218"/>
        <v>2.1023999999999998</v>
      </c>
      <c r="I541" s="101">
        <f t="shared" si="218"/>
        <v>2.1023999999999998</v>
      </c>
      <c r="J541" s="101">
        <f t="shared" si="218"/>
        <v>2.1023999999999998</v>
      </c>
      <c r="K541" s="101">
        <f t="shared" si="218"/>
        <v>2.1023999999999998</v>
      </c>
      <c r="L541" s="101">
        <f t="shared" si="218"/>
        <v>2.1023999999999998</v>
      </c>
      <c r="M541" s="101">
        <f t="shared" si="218"/>
        <v>2.1023999999999998</v>
      </c>
      <c r="N541" s="101">
        <f t="shared" si="218"/>
        <v>2.1023999999999998</v>
      </c>
      <c r="O541" s="101">
        <f t="shared" si="218"/>
        <v>2.1023999999999998</v>
      </c>
      <c r="P541" s="101">
        <f t="shared" si="218"/>
        <v>2.1023999999999998</v>
      </c>
      <c r="Q541" s="101">
        <f t="shared" si="218"/>
        <v>2.1023999999999998</v>
      </c>
      <c r="R541" s="101">
        <f t="shared" si="218"/>
        <v>2.1023999999999998</v>
      </c>
      <c r="S541" s="101">
        <f t="shared" si="218"/>
        <v>2.1023999999999998</v>
      </c>
      <c r="T541" s="101">
        <f t="shared" si="218"/>
        <v>2.1023999999999998</v>
      </c>
      <c r="U541" s="101">
        <f t="shared" si="218"/>
        <v>2.1023999999999998</v>
      </c>
      <c r="V541" s="101">
        <f t="shared" si="218"/>
        <v>2.1023999999999998</v>
      </c>
      <c r="W541" s="101">
        <f t="shared" si="218"/>
        <v>2.1023999999999998</v>
      </c>
      <c r="X541" s="101">
        <f t="shared" si="218"/>
        <v>2.1023999999999998</v>
      </c>
      <c r="Y541" s="101">
        <f t="shared" si="218"/>
        <v>2.1023999999999998</v>
      </c>
      <c r="Z541" s="101">
        <f t="shared" si="218"/>
        <v>2.1023999999999998</v>
      </c>
      <c r="AA541" s="101">
        <f t="shared" si="218"/>
        <v>2.1023999999999998</v>
      </c>
      <c r="AB541" s="101">
        <f t="shared" si="218"/>
        <v>2.1023999999999998</v>
      </c>
      <c r="AC541" s="101">
        <f t="shared" si="218"/>
        <v>2.1023999999999998</v>
      </c>
      <c r="AD541" s="101">
        <f t="shared" si="218"/>
        <v>2.1023999999999998</v>
      </c>
    </row>
    <row r="542" spans="1:30" s="45" customFormat="1" outlineLevel="1">
      <c r="B542" s="13"/>
      <c r="C542" s="42"/>
      <c r="D542" s="56"/>
      <c r="E542" s="56"/>
      <c r="F542" s="56"/>
      <c r="G542" s="56"/>
      <c r="H542" s="56"/>
      <c r="I542" s="56"/>
      <c r="J542" s="56"/>
      <c r="K542" s="56"/>
      <c r="L542" s="56"/>
      <c r="M542" s="56"/>
      <c r="N542" s="56"/>
      <c r="O542" s="56"/>
      <c r="P542" s="56"/>
      <c r="Q542" s="56"/>
      <c r="R542" s="56"/>
      <c r="S542" s="56"/>
      <c r="T542" s="56"/>
      <c r="U542" s="56"/>
      <c r="V542" s="56"/>
      <c r="W542" s="56"/>
      <c r="X542" s="56"/>
      <c r="Y542" s="56"/>
      <c r="Z542" s="56"/>
      <c r="AA542" s="56"/>
      <c r="AB542" s="56"/>
      <c r="AC542" s="56"/>
      <c r="AD542" s="56"/>
    </row>
    <row r="543" spans="1:30" s="116" customFormat="1" ht="23.4" customHeight="1" outlineLevel="1">
      <c r="A543" s="146" t="s">
        <v>339</v>
      </c>
      <c r="B543" s="114"/>
      <c r="C543" s="40"/>
      <c r="D543" s="115"/>
      <c r="E543" s="115"/>
      <c r="F543" s="115"/>
      <c r="G543" s="115"/>
      <c r="H543" s="115"/>
      <c r="I543" s="115"/>
      <c r="J543" s="115"/>
      <c r="K543" s="115"/>
      <c r="L543" s="115"/>
      <c r="M543" s="115"/>
      <c r="N543" s="115"/>
      <c r="O543" s="115"/>
      <c r="P543" s="115"/>
      <c r="Q543" s="115"/>
      <c r="R543" s="115"/>
      <c r="S543" s="115"/>
      <c r="T543" s="115"/>
      <c r="U543" s="115"/>
      <c r="V543" s="115"/>
      <c r="W543" s="115"/>
      <c r="X543" s="115"/>
      <c r="Y543" s="115"/>
      <c r="Z543" s="115"/>
      <c r="AA543" s="115"/>
      <c r="AB543" s="115"/>
      <c r="AC543" s="115"/>
      <c r="AD543" s="115"/>
    </row>
    <row r="544" spans="1:30" s="62" customFormat="1" outlineLevel="1">
      <c r="A544" s="13" t="s">
        <v>563</v>
      </c>
      <c r="B544" s="60"/>
      <c r="C544" s="42"/>
      <c r="D544" s="61"/>
      <c r="E544" s="61"/>
      <c r="F544" s="61"/>
      <c r="G544" s="61"/>
      <c r="H544" s="61"/>
      <c r="I544" s="61"/>
      <c r="J544" s="61"/>
      <c r="K544" s="61"/>
      <c r="L544" s="61"/>
      <c r="M544" s="61"/>
      <c r="N544" s="61"/>
      <c r="O544" s="61"/>
      <c r="P544" s="61"/>
      <c r="Q544" s="61"/>
      <c r="R544" s="61"/>
      <c r="S544" s="61"/>
      <c r="T544" s="61"/>
      <c r="U544" s="61"/>
      <c r="V544" s="61"/>
      <c r="W544" s="61"/>
      <c r="X544" s="61"/>
      <c r="Y544" s="61"/>
      <c r="Z544" s="61"/>
      <c r="AA544" s="61"/>
      <c r="AB544" s="61"/>
      <c r="AC544" s="61"/>
      <c r="AD544" s="61"/>
    </row>
    <row r="545" spans="1:30" outlineLevel="1">
      <c r="A545" s="214" t="s">
        <v>182</v>
      </c>
      <c r="B545" s="214" t="s">
        <v>284</v>
      </c>
      <c r="C545" s="42"/>
      <c r="D545" s="328">
        <v>0.6</v>
      </c>
      <c r="E545" s="292">
        <f t="shared" ref="E545:AD550" si="219">D545</f>
        <v>0.6</v>
      </c>
      <c r="F545" s="292">
        <f t="shared" si="219"/>
        <v>0.6</v>
      </c>
      <c r="G545" s="292">
        <f t="shared" si="219"/>
        <v>0.6</v>
      </c>
      <c r="H545" s="292">
        <f t="shared" si="219"/>
        <v>0.6</v>
      </c>
      <c r="I545" s="292">
        <f t="shared" si="219"/>
        <v>0.6</v>
      </c>
      <c r="J545" s="292">
        <f t="shared" si="219"/>
        <v>0.6</v>
      </c>
      <c r="K545" s="292">
        <f t="shared" si="219"/>
        <v>0.6</v>
      </c>
      <c r="L545" s="292">
        <f t="shared" si="219"/>
        <v>0.6</v>
      </c>
      <c r="M545" s="292">
        <f t="shared" si="219"/>
        <v>0.6</v>
      </c>
      <c r="N545" s="292">
        <f t="shared" si="219"/>
        <v>0.6</v>
      </c>
      <c r="O545" s="292">
        <f t="shared" si="219"/>
        <v>0.6</v>
      </c>
      <c r="P545" s="292">
        <f t="shared" si="219"/>
        <v>0.6</v>
      </c>
      <c r="Q545" s="292">
        <f t="shared" si="219"/>
        <v>0.6</v>
      </c>
      <c r="R545" s="292">
        <f t="shared" si="219"/>
        <v>0.6</v>
      </c>
      <c r="S545" s="292">
        <f t="shared" si="219"/>
        <v>0.6</v>
      </c>
      <c r="T545" s="292">
        <f t="shared" si="219"/>
        <v>0.6</v>
      </c>
      <c r="U545" s="292">
        <f t="shared" si="219"/>
        <v>0.6</v>
      </c>
      <c r="V545" s="292">
        <f t="shared" si="219"/>
        <v>0.6</v>
      </c>
      <c r="W545" s="292">
        <f t="shared" si="219"/>
        <v>0.6</v>
      </c>
      <c r="X545" s="292">
        <f t="shared" si="219"/>
        <v>0.6</v>
      </c>
      <c r="Y545" s="292">
        <f t="shared" si="219"/>
        <v>0.6</v>
      </c>
      <c r="Z545" s="292">
        <f t="shared" si="219"/>
        <v>0.6</v>
      </c>
      <c r="AA545" s="292">
        <f t="shared" si="219"/>
        <v>0.6</v>
      </c>
      <c r="AB545" s="292">
        <f t="shared" si="219"/>
        <v>0.6</v>
      </c>
      <c r="AC545" s="292">
        <f t="shared" si="219"/>
        <v>0.6</v>
      </c>
      <c r="AD545" s="292">
        <f t="shared" si="219"/>
        <v>0.6</v>
      </c>
    </row>
    <row r="546" spans="1:30" outlineLevel="1">
      <c r="A546" s="214" t="s">
        <v>338</v>
      </c>
      <c r="B546" s="214" t="s">
        <v>284</v>
      </c>
      <c r="C546" s="42"/>
      <c r="D546" s="328">
        <v>0.9</v>
      </c>
      <c r="E546" s="292">
        <f t="shared" si="219"/>
        <v>0.9</v>
      </c>
      <c r="F546" s="292">
        <f t="shared" si="219"/>
        <v>0.9</v>
      </c>
      <c r="G546" s="292">
        <f t="shared" si="219"/>
        <v>0.9</v>
      </c>
      <c r="H546" s="292">
        <f t="shared" si="219"/>
        <v>0.9</v>
      </c>
      <c r="I546" s="292">
        <f t="shared" si="219"/>
        <v>0.9</v>
      </c>
      <c r="J546" s="292">
        <f t="shared" si="219"/>
        <v>0.9</v>
      </c>
      <c r="K546" s="292">
        <f t="shared" si="219"/>
        <v>0.9</v>
      </c>
      <c r="L546" s="292">
        <f t="shared" si="219"/>
        <v>0.9</v>
      </c>
      <c r="M546" s="292">
        <f t="shared" si="219"/>
        <v>0.9</v>
      </c>
      <c r="N546" s="292">
        <f t="shared" si="219"/>
        <v>0.9</v>
      </c>
      <c r="O546" s="292">
        <f t="shared" si="219"/>
        <v>0.9</v>
      </c>
      <c r="P546" s="292">
        <f t="shared" si="219"/>
        <v>0.9</v>
      </c>
      <c r="Q546" s="292">
        <f t="shared" si="219"/>
        <v>0.9</v>
      </c>
      <c r="R546" s="292">
        <f t="shared" si="219"/>
        <v>0.9</v>
      </c>
      <c r="S546" s="292">
        <f t="shared" si="219"/>
        <v>0.9</v>
      </c>
      <c r="T546" s="292">
        <f t="shared" si="219"/>
        <v>0.9</v>
      </c>
      <c r="U546" s="292">
        <f t="shared" si="219"/>
        <v>0.9</v>
      </c>
      <c r="V546" s="292">
        <f t="shared" si="219"/>
        <v>0.9</v>
      </c>
      <c r="W546" s="292">
        <f t="shared" si="219"/>
        <v>0.9</v>
      </c>
      <c r="X546" s="292">
        <f t="shared" si="219"/>
        <v>0.9</v>
      </c>
      <c r="Y546" s="292">
        <f t="shared" si="219"/>
        <v>0.9</v>
      </c>
      <c r="Z546" s="292">
        <f t="shared" si="219"/>
        <v>0.9</v>
      </c>
      <c r="AA546" s="292">
        <f t="shared" si="219"/>
        <v>0.9</v>
      </c>
      <c r="AB546" s="292">
        <f t="shared" si="219"/>
        <v>0.9</v>
      </c>
      <c r="AC546" s="292">
        <f t="shared" si="219"/>
        <v>0.9</v>
      </c>
      <c r="AD546" s="292">
        <f t="shared" si="219"/>
        <v>0.9</v>
      </c>
    </row>
    <row r="547" spans="1:30" outlineLevel="1">
      <c r="A547" s="214" t="s">
        <v>335</v>
      </c>
      <c r="B547" s="214" t="s">
        <v>284</v>
      </c>
      <c r="C547" s="42"/>
      <c r="D547" s="292">
        <v>0.3</v>
      </c>
      <c r="E547" s="292">
        <f t="shared" si="219"/>
        <v>0.3</v>
      </c>
      <c r="F547" s="292">
        <f t="shared" si="219"/>
        <v>0.3</v>
      </c>
      <c r="G547" s="292">
        <f t="shared" si="219"/>
        <v>0.3</v>
      </c>
      <c r="H547" s="292">
        <f t="shared" si="219"/>
        <v>0.3</v>
      </c>
      <c r="I547" s="292">
        <f t="shared" si="219"/>
        <v>0.3</v>
      </c>
      <c r="J547" s="292">
        <f t="shared" si="219"/>
        <v>0.3</v>
      </c>
      <c r="K547" s="292">
        <f t="shared" si="219"/>
        <v>0.3</v>
      </c>
      <c r="L547" s="292">
        <f t="shared" si="219"/>
        <v>0.3</v>
      </c>
      <c r="M547" s="292">
        <f t="shared" si="219"/>
        <v>0.3</v>
      </c>
      <c r="N547" s="292">
        <f t="shared" si="219"/>
        <v>0.3</v>
      </c>
      <c r="O547" s="292">
        <f t="shared" si="219"/>
        <v>0.3</v>
      </c>
      <c r="P547" s="292">
        <f t="shared" si="219"/>
        <v>0.3</v>
      </c>
      <c r="Q547" s="292">
        <f t="shared" si="219"/>
        <v>0.3</v>
      </c>
      <c r="R547" s="292">
        <f t="shared" si="219"/>
        <v>0.3</v>
      </c>
      <c r="S547" s="292">
        <f t="shared" si="219"/>
        <v>0.3</v>
      </c>
      <c r="T547" s="292">
        <f t="shared" si="219"/>
        <v>0.3</v>
      </c>
      <c r="U547" s="292">
        <f t="shared" si="219"/>
        <v>0.3</v>
      </c>
      <c r="V547" s="292">
        <f t="shared" si="219"/>
        <v>0.3</v>
      </c>
      <c r="W547" s="292">
        <f t="shared" si="219"/>
        <v>0.3</v>
      </c>
      <c r="X547" s="292">
        <f t="shared" si="219"/>
        <v>0.3</v>
      </c>
      <c r="Y547" s="292">
        <f t="shared" si="219"/>
        <v>0.3</v>
      </c>
      <c r="Z547" s="292">
        <f t="shared" si="219"/>
        <v>0.3</v>
      </c>
      <c r="AA547" s="292">
        <f t="shared" si="219"/>
        <v>0.3</v>
      </c>
      <c r="AB547" s="292">
        <f t="shared" si="219"/>
        <v>0.3</v>
      </c>
      <c r="AC547" s="292">
        <f t="shared" si="219"/>
        <v>0.3</v>
      </c>
      <c r="AD547" s="292">
        <f t="shared" si="219"/>
        <v>0.3</v>
      </c>
    </row>
    <row r="548" spans="1:30" outlineLevel="1">
      <c r="A548" s="214" t="s">
        <v>336</v>
      </c>
      <c r="B548" s="214" t="s">
        <v>284</v>
      </c>
      <c r="C548" s="42"/>
      <c r="D548" s="292">
        <v>0.15</v>
      </c>
      <c r="E548" s="292">
        <f t="shared" si="219"/>
        <v>0.15</v>
      </c>
      <c r="F548" s="292">
        <f t="shared" si="219"/>
        <v>0.15</v>
      </c>
      <c r="G548" s="292">
        <f t="shared" si="219"/>
        <v>0.15</v>
      </c>
      <c r="H548" s="292">
        <f t="shared" si="219"/>
        <v>0.15</v>
      </c>
      <c r="I548" s="292">
        <f t="shared" si="219"/>
        <v>0.15</v>
      </c>
      <c r="J548" s="292">
        <f t="shared" si="219"/>
        <v>0.15</v>
      </c>
      <c r="K548" s="292">
        <f t="shared" si="219"/>
        <v>0.15</v>
      </c>
      <c r="L548" s="292">
        <f t="shared" si="219"/>
        <v>0.15</v>
      </c>
      <c r="M548" s="292">
        <f t="shared" si="219"/>
        <v>0.15</v>
      </c>
      <c r="N548" s="292">
        <f t="shared" si="219"/>
        <v>0.15</v>
      </c>
      <c r="O548" s="292">
        <f t="shared" si="219"/>
        <v>0.15</v>
      </c>
      <c r="P548" s="292">
        <f t="shared" si="219"/>
        <v>0.15</v>
      </c>
      <c r="Q548" s="292">
        <f t="shared" si="219"/>
        <v>0.15</v>
      </c>
      <c r="R548" s="292">
        <f t="shared" si="219"/>
        <v>0.15</v>
      </c>
      <c r="S548" s="292">
        <f t="shared" si="219"/>
        <v>0.15</v>
      </c>
      <c r="T548" s="292">
        <f t="shared" si="219"/>
        <v>0.15</v>
      </c>
      <c r="U548" s="292">
        <f t="shared" si="219"/>
        <v>0.15</v>
      </c>
      <c r="V548" s="292">
        <f t="shared" si="219"/>
        <v>0.15</v>
      </c>
      <c r="W548" s="292">
        <f t="shared" si="219"/>
        <v>0.15</v>
      </c>
      <c r="X548" s="292">
        <f t="shared" si="219"/>
        <v>0.15</v>
      </c>
      <c r="Y548" s="292">
        <f t="shared" si="219"/>
        <v>0.15</v>
      </c>
      <c r="Z548" s="292">
        <f t="shared" si="219"/>
        <v>0.15</v>
      </c>
      <c r="AA548" s="292">
        <f t="shared" si="219"/>
        <v>0.15</v>
      </c>
      <c r="AB548" s="292">
        <f t="shared" si="219"/>
        <v>0.15</v>
      </c>
      <c r="AC548" s="292">
        <f t="shared" si="219"/>
        <v>0.15</v>
      </c>
      <c r="AD548" s="292">
        <f t="shared" si="219"/>
        <v>0.15</v>
      </c>
    </row>
    <row r="549" spans="1:30" outlineLevel="1">
      <c r="A549" s="214" t="s">
        <v>185</v>
      </c>
      <c r="B549" s="214" t="s">
        <v>284</v>
      </c>
      <c r="C549" s="42"/>
      <c r="D549" s="292">
        <v>0.3</v>
      </c>
      <c r="E549" s="292">
        <f t="shared" si="219"/>
        <v>0.3</v>
      </c>
      <c r="F549" s="292">
        <f t="shared" si="219"/>
        <v>0.3</v>
      </c>
      <c r="G549" s="292">
        <f t="shared" si="219"/>
        <v>0.3</v>
      </c>
      <c r="H549" s="292">
        <f t="shared" si="219"/>
        <v>0.3</v>
      </c>
      <c r="I549" s="292">
        <f t="shared" si="219"/>
        <v>0.3</v>
      </c>
      <c r="J549" s="292">
        <f t="shared" si="219"/>
        <v>0.3</v>
      </c>
      <c r="K549" s="292">
        <f t="shared" si="219"/>
        <v>0.3</v>
      </c>
      <c r="L549" s="292">
        <f t="shared" si="219"/>
        <v>0.3</v>
      </c>
      <c r="M549" s="292">
        <f t="shared" si="219"/>
        <v>0.3</v>
      </c>
      <c r="N549" s="292">
        <f t="shared" si="219"/>
        <v>0.3</v>
      </c>
      <c r="O549" s="292">
        <f t="shared" si="219"/>
        <v>0.3</v>
      </c>
      <c r="P549" s="292">
        <f t="shared" si="219"/>
        <v>0.3</v>
      </c>
      <c r="Q549" s="292">
        <f t="shared" si="219"/>
        <v>0.3</v>
      </c>
      <c r="R549" s="292">
        <f t="shared" si="219"/>
        <v>0.3</v>
      </c>
      <c r="S549" s="292">
        <f t="shared" si="219"/>
        <v>0.3</v>
      </c>
      <c r="T549" s="292">
        <f t="shared" si="219"/>
        <v>0.3</v>
      </c>
      <c r="U549" s="292">
        <f t="shared" si="219"/>
        <v>0.3</v>
      </c>
      <c r="V549" s="292">
        <f t="shared" si="219"/>
        <v>0.3</v>
      </c>
      <c r="W549" s="292">
        <f t="shared" si="219"/>
        <v>0.3</v>
      </c>
      <c r="X549" s="292">
        <f t="shared" si="219"/>
        <v>0.3</v>
      </c>
      <c r="Y549" s="292">
        <f t="shared" si="219"/>
        <v>0.3</v>
      </c>
      <c r="Z549" s="292">
        <f t="shared" si="219"/>
        <v>0.3</v>
      </c>
      <c r="AA549" s="292">
        <f t="shared" si="219"/>
        <v>0.3</v>
      </c>
      <c r="AB549" s="292">
        <f t="shared" si="219"/>
        <v>0.3</v>
      </c>
      <c r="AC549" s="292">
        <f t="shared" si="219"/>
        <v>0.3</v>
      </c>
      <c r="AD549" s="292">
        <f t="shared" si="219"/>
        <v>0.3</v>
      </c>
    </row>
    <row r="550" spans="1:30" outlineLevel="1">
      <c r="A550" s="214" t="s">
        <v>337</v>
      </c>
      <c r="B550" s="214" t="s">
        <v>284</v>
      </c>
      <c r="C550" s="42"/>
      <c r="D550" s="292">
        <v>0.3</v>
      </c>
      <c r="E550" s="292">
        <f t="shared" si="219"/>
        <v>0.3</v>
      </c>
      <c r="F550" s="292">
        <f t="shared" si="219"/>
        <v>0.3</v>
      </c>
      <c r="G550" s="292">
        <f t="shared" si="219"/>
        <v>0.3</v>
      </c>
      <c r="H550" s="292">
        <f t="shared" si="219"/>
        <v>0.3</v>
      </c>
      <c r="I550" s="292">
        <f t="shared" si="219"/>
        <v>0.3</v>
      </c>
      <c r="J550" s="292">
        <f t="shared" si="219"/>
        <v>0.3</v>
      </c>
      <c r="K550" s="292">
        <f t="shared" si="219"/>
        <v>0.3</v>
      </c>
      <c r="L550" s="292">
        <f t="shared" si="219"/>
        <v>0.3</v>
      </c>
      <c r="M550" s="292">
        <f t="shared" si="219"/>
        <v>0.3</v>
      </c>
      <c r="N550" s="292">
        <f t="shared" si="219"/>
        <v>0.3</v>
      </c>
      <c r="O550" s="292">
        <f t="shared" si="219"/>
        <v>0.3</v>
      </c>
      <c r="P550" s="292">
        <f t="shared" si="219"/>
        <v>0.3</v>
      </c>
      <c r="Q550" s="292">
        <f t="shared" si="219"/>
        <v>0.3</v>
      </c>
      <c r="R550" s="292">
        <f t="shared" si="219"/>
        <v>0.3</v>
      </c>
      <c r="S550" s="292">
        <f t="shared" si="219"/>
        <v>0.3</v>
      </c>
      <c r="T550" s="292">
        <f t="shared" si="219"/>
        <v>0.3</v>
      </c>
      <c r="U550" s="292">
        <f t="shared" si="219"/>
        <v>0.3</v>
      </c>
      <c r="V550" s="292">
        <f t="shared" si="219"/>
        <v>0.3</v>
      </c>
      <c r="W550" s="292">
        <f t="shared" si="219"/>
        <v>0.3</v>
      </c>
      <c r="X550" s="292">
        <f t="shared" si="219"/>
        <v>0.3</v>
      </c>
      <c r="Y550" s="292">
        <f t="shared" si="219"/>
        <v>0.3</v>
      </c>
      <c r="Z550" s="292">
        <f t="shared" si="219"/>
        <v>0.3</v>
      </c>
      <c r="AA550" s="292">
        <f t="shared" si="219"/>
        <v>0.3</v>
      </c>
      <c r="AB550" s="292">
        <f t="shared" si="219"/>
        <v>0.3</v>
      </c>
      <c r="AC550" s="292">
        <f t="shared" si="219"/>
        <v>0.3</v>
      </c>
      <c r="AD550" s="292">
        <f t="shared" si="219"/>
        <v>0.3</v>
      </c>
    </row>
    <row r="551" spans="1:30" s="45" customFormat="1" outlineLevel="1">
      <c r="A551" s="45" t="str">
        <f>A543</f>
        <v>Office</v>
      </c>
      <c r="B551" s="13" t="s">
        <v>284</v>
      </c>
      <c r="C551" s="42">
        <f>SUM(D551:AD551)</f>
        <v>68.849999999999966</v>
      </c>
      <c r="D551" s="101">
        <f t="shared" ref="D551:AD551" si="220">SUM(D545:D550)</f>
        <v>2.5499999999999998</v>
      </c>
      <c r="E551" s="101">
        <f t="shared" si="220"/>
        <v>2.5499999999999998</v>
      </c>
      <c r="F551" s="101">
        <f t="shared" si="220"/>
        <v>2.5499999999999998</v>
      </c>
      <c r="G551" s="101">
        <f t="shared" si="220"/>
        <v>2.5499999999999998</v>
      </c>
      <c r="H551" s="101">
        <f t="shared" si="220"/>
        <v>2.5499999999999998</v>
      </c>
      <c r="I551" s="101">
        <f t="shared" si="220"/>
        <v>2.5499999999999998</v>
      </c>
      <c r="J551" s="101">
        <f t="shared" si="220"/>
        <v>2.5499999999999998</v>
      </c>
      <c r="K551" s="101">
        <f t="shared" si="220"/>
        <v>2.5499999999999998</v>
      </c>
      <c r="L551" s="101">
        <f t="shared" si="220"/>
        <v>2.5499999999999998</v>
      </c>
      <c r="M551" s="101">
        <f t="shared" si="220"/>
        <v>2.5499999999999998</v>
      </c>
      <c r="N551" s="101">
        <f t="shared" si="220"/>
        <v>2.5499999999999998</v>
      </c>
      <c r="O551" s="101">
        <f t="shared" si="220"/>
        <v>2.5499999999999998</v>
      </c>
      <c r="P551" s="101">
        <f t="shared" si="220"/>
        <v>2.5499999999999998</v>
      </c>
      <c r="Q551" s="101">
        <f t="shared" si="220"/>
        <v>2.5499999999999998</v>
      </c>
      <c r="R551" s="101">
        <f t="shared" si="220"/>
        <v>2.5499999999999998</v>
      </c>
      <c r="S551" s="101">
        <f t="shared" si="220"/>
        <v>2.5499999999999998</v>
      </c>
      <c r="T551" s="101">
        <f t="shared" si="220"/>
        <v>2.5499999999999998</v>
      </c>
      <c r="U551" s="101">
        <f t="shared" si="220"/>
        <v>2.5499999999999998</v>
      </c>
      <c r="V551" s="101">
        <f t="shared" si="220"/>
        <v>2.5499999999999998</v>
      </c>
      <c r="W551" s="101">
        <f t="shared" si="220"/>
        <v>2.5499999999999998</v>
      </c>
      <c r="X551" s="101">
        <f t="shared" si="220"/>
        <v>2.5499999999999998</v>
      </c>
      <c r="Y551" s="101">
        <f t="shared" si="220"/>
        <v>2.5499999999999998</v>
      </c>
      <c r="Z551" s="101">
        <f t="shared" si="220"/>
        <v>2.5499999999999998</v>
      </c>
      <c r="AA551" s="101">
        <f t="shared" si="220"/>
        <v>2.5499999999999998</v>
      </c>
      <c r="AB551" s="101">
        <f t="shared" si="220"/>
        <v>2.5499999999999998</v>
      </c>
      <c r="AC551" s="101">
        <f t="shared" si="220"/>
        <v>2.5499999999999998</v>
      </c>
      <c r="AD551" s="101">
        <f t="shared" si="220"/>
        <v>2.5499999999999998</v>
      </c>
    </row>
    <row r="552" spans="1:30" s="45" customFormat="1" outlineLevel="1">
      <c r="B552" s="13"/>
      <c r="C552" s="42"/>
      <c r="D552" s="56"/>
      <c r="E552" s="56"/>
      <c r="F552" s="56"/>
      <c r="G552" s="56"/>
      <c r="H552" s="56"/>
      <c r="I552" s="56"/>
      <c r="J552" s="56"/>
      <c r="K552" s="56"/>
      <c r="L552" s="56"/>
      <c r="M552" s="56"/>
      <c r="N552" s="56"/>
      <c r="O552" s="56"/>
      <c r="P552" s="56"/>
      <c r="Q552" s="56"/>
      <c r="R552" s="56"/>
      <c r="S552" s="56"/>
      <c r="T552" s="56"/>
      <c r="U552" s="56"/>
      <c r="V552" s="56"/>
      <c r="W552" s="56"/>
      <c r="X552" s="56"/>
      <c r="Y552" s="56"/>
      <c r="Z552" s="56"/>
      <c r="AA552" s="56"/>
      <c r="AB552" s="56"/>
      <c r="AC552" s="56"/>
      <c r="AD552" s="56"/>
    </row>
    <row r="553" spans="1:30" s="116" customFormat="1" ht="23.4" customHeight="1" outlineLevel="1">
      <c r="A553" s="146" t="s">
        <v>343</v>
      </c>
      <c r="B553" s="114"/>
      <c r="C553" s="40"/>
      <c r="D553" s="115"/>
      <c r="E553" s="115"/>
      <c r="F553" s="115"/>
      <c r="G553" s="115"/>
      <c r="H553" s="115"/>
      <c r="I553" s="115"/>
      <c r="J553" s="115"/>
      <c r="K553" s="115"/>
      <c r="L553" s="115"/>
      <c r="M553" s="115"/>
      <c r="N553" s="115"/>
      <c r="O553" s="115"/>
      <c r="P553" s="115"/>
      <c r="Q553" s="115"/>
      <c r="R553" s="115"/>
      <c r="S553" s="115"/>
      <c r="T553" s="115"/>
      <c r="U553" s="115"/>
      <c r="V553" s="115"/>
      <c r="W553" s="115"/>
      <c r="X553" s="115"/>
      <c r="Y553" s="115"/>
      <c r="Z553" s="115"/>
      <c r="AA553" s="115"/>
      <c r="AB553" s="115"/>
      <c r="AC553" s="115"/>
      <c r="AD553" s="115"/>
    </row>
    <row r="554" spans="1:30" s="62" customFormat="1" outlineLevel="1">
      <c r="A554" s="13" t="s">
        <v>563</v>
      </c>
      <c r="B554" s="60"/>
      <c r="C554" s="42"/>
      <c r="D554" s="61"/>
      <c r="E554" s="61"/>
      <c r="F554" s="61"/>
      <c r="G554" s="61"/>
      <c r="H554" s="61"/>
      <c r="I554" s="61"/>
      <c r="J554" s="61"/>
      <c r="K554" s="61"/>
      <c r="L554" s="61"/>
      <c r="M554" s="61"/>
      <c r="N554" s="61"/>
      <c r="O554" s="61"/>
      <c r="P554" s="61"/>
      <c r="Q554" s="61"/>
      <c r="R554" s="61"/>
      <c r="S554" s="61"/>
      <c r="T554" s="61"/>
      <c r="U554" s="61"/>
      <c r="V554" s="61"/>
      <c r="W554" s="61"/>
      <c r="X554" s="61"/>
      <c r="Y554" s="61"/>
      <c r="Z554" s="61"/>
      <c r="AA554" s="61"/>
      <c r="AB554" s="61"/>
      <c r="AC554" s="61"/>
      <c r="AD554" s="61"/>
    </row>
    <row r="555" spans="1:30" outlineLevel="1">
      <c r="A555" s="214" t="s">
        <v>188</v>
      </c>
      <c r="B555" s="214" t="s">
        <v>284</v>
      </c>
      <c r="C555" s="42"/>
      <c r="D555" s="292">
        <v>0.8</v>
      </c>
      <c r="E555" s="292">
        <f t="shared" ref="E555:AD558" si="221">D555</f>
        <v>0.8</v>
      </c>
      <c r="F555" s="292">
        <f t="shared" si="221"/>
        <v>0.8</v>
      </c>
      <c r="G555" s="292">
        <f t="shared" si="221"/>
        <v>0.8</v>
      </c>
      <c r="H555" s="292">
        <f t="shared" si="221"/>
        <v>0.8</v>
      </c>
      <c r="I555" s="292">
        <f t="shared" si="221"/>
        <v>0.8</v>
      </c>
      <c r="J555" s="292">
        <f t="shared" si="221"/>
        <v>0.8</v>
      </c>
      <c r="K555" s="292">
        <f t="shared" si="221"/>
        <v>0.8</v>
      </c>
      <c r="L555" s="292">
        <f t="shared" si="221"/>
        <v>0.8</v>
      </c>
      <c r="M555" s="292">
        <f t="shared" si="221"/>
        <v>0.8</v>
      </c>
      <c r="N555" s="292">
        <f t="shared" si="221"/>
        <v>0.8</v>
      </c>
      <c r="O555" s="292">
        <f t="shared" si="221"/>
        <v>0.8</v>
      </c>
      <c r="P555" s="292">
        <f t="shared" si="221"/>
        <v>0.8</v>
      </c>
      <c r="Q555" s="292">
        <f t="shared" si="221"/>
        <v>0.8</v>
      </c>
      <c r="R555" s="292">
        <f t="shared" si="221"/>
        <v>0.8</v>
      </c>
      <c r="S555" s="292">
        <f t="shared" si="221"/>
        <v>0.8</v>
      </c>
      <c r="T555" s="292">
        <f t="shared" si="221"/>
        <v>0.8</v>
      </c>
      <c r="U555" s="292">
        <f t="shared" si="221"/>
        <v>0.8</v>
      </c>
      <c r="V555" s="292">
        <f t="shared" si="221"/>
        <v>0.8</v>
      </c>
      <c r="W555" s="292">
        <f t="shared" si="221"/>
        <v>0.8</v>
      </c>
      <c r="X555" s="292">
        <f t="shared" si="221"/>
        <v>0.8</v>
      </c>
      <c r="Y555" s="292">
        <f t="shared" si="221"/>
        <v>0.8</v>
      </c>
      <c r="Z555" s="292">
        <f t="shared" si="221"/>
        <v>0.8</v>
      </c>
      <c r="AA555" s="292">
        <f t="shared" si="221"/>
        <v>0.8</v>
      </c>
      <c r="AB555" s="292">
        <f t="shared" si="221"/>
        <v>0.8</v>
      </c>
      <c r="AC555" s="292">
        <f t="shared" si="221"/>
        <v>0.8</v>
      </c>
      <c r="AD555" s="292">
        <f t="shared" si="221"/>
        <v>0.8</v>
      </c>
    </row>
    <row r="556" spans="1:30" outlineLevel="1">
      <c r="A556" s="214" t="s">
        <v>189</v>
      </c>
      <c r="B556" s="214" t="s">
        <v>284</v>
      </c>
      <c r="C556" s="42"/>
      <c r="D556" s="292">
        <v>0.2</v>
      </c>
      <c r="E556" s="292">
        <f t="shared" si="221"/>
        <v>0.2</v>
      </c>
      <c r="F556" s="292">
        <f t="shared" si="221"/>
        <v>0.2</v>
      </c>
      <c r="G556" s="292">
        <f t="shared" si="221"/>
        <v>0.2</v>
      </c>
      <c r="H556" s="292">
        <f t="shared" si="221"/>
        <v>0.2</v>
      </c>
      <c r="I556" s="292">
        <f t="shared" si="221"/>
        <v>0.2</v>
      </c>
      <c r="J556" s="292">
        <f t="shared" si="221"/>
        <v>0.2</v>
      </c>
      <c r="K556" s="292">
        <f t="shared" si="221"/>
        <v>0.2</v>
      </c>
      <c r="L556" s="292">
        <f t="shared" si="221"/>
        <v>0.2</v>
      </c>
      <c r="M556" s="292">
        <f t="shared" si="221"/>
        <v>0.2</v>
      </c>
      <c r="N556" s="292">
        <f t="shared" si="221"/>
        <v>0.2</v>
      </c>
      <c r="O556" s="292">
        <f t="shared" si="221"/>
        <v>0.2</v>
      </c>
      <c r="P556" s="292">
        <f t="shared" si="221"/>
        <v>0.2</v>
      </c>
      <c r="Q556" s="292">
        <f t="shared" si="221"/>
        <v>0.2</v>
      </c>
      <c r="R556" s="292">
        <f t="shared" si="221"/>
        <v>0.2</v>
      </c>
      <c r="S556" s="292">
        <f t="shared" si="221"/>
        <v>0.2</v>
      </c>
      <c r="T556" s="292">
        <f t="shared" si="221"/>
        <v>0.2</v>
      </c>
      <c r="U556" s="292">
        <f t="shared" si="221"/>
        <v>0.2</v>
      </c>
      <c r="V556" s="292">
        <f t="shared" si="221"/>
        <v>0.2</v>
      </c>
      <c r="W556" s="292">
        <f t="shared" si="221"/>
        <v>0.2</v>
      </c>
      <c r="X556" s="292">
        <f t="shared" si="221"/>
        <v>0.2</v>
      </c>
      <c r="Y556" s="292">
        <f t="shared" si="221"/>
        <v>0.2</v>
      </c>
      <c r="Z556" s="292">
        <f t="shared" si="221"/>
        <v>0.2</v>
      </c>
      <c r="AA556" s="292">
        <f t="shared" si="221"/>
        <v>0.2</v>
      </c>
      <c r="AB556" s="292">
        <f t="shared" si="221"/>
        <v>0.2</v>
      </c>
      <c r="AC556" s="292">
        <f t="shared" si="221"/>
        <v>0.2</v>
      </c>
      <c r="AD556" s="292">
        <f t="shared" si="221"/>
        <v>0.2</v>
      </c>
    </row>
    <row r="557" spans="1:30" outlineLevel="1">
      <c r="A557" s="214" t="s">
        <v>183</v>
      </c>
      <c r="B557" s="214" t="s">
        <v>284</v>
      </c>
      <c r="C557" s="42"/>
      <c r="D557" s="292">
        <v>0.05</v>
      </c>
      <c r="E557" s="292">
        <f t="shared" si="221"/>
        <v>0.05</v>
      </c>
      <c r="F557" s="292">
        <f t="shared" si="221"/>
        <v>0.05</v>
      </c>
      <c r="G557" s="292">
        <f t="shared" si="221"/>
        <v>0.05</v>
      </c>
      <c r="H557" s="292">
        <f t="shared" si="221"/>
        <v>0.05</v>
      </c>
      <c r="I557" s="292">
        <f t="shared" si="221"/>
        <v>0.05</v>
      </c>
      <c r="J557" s="292">
        <f t="shared" si="221"/>
        <v>0.05</v>
      </c>
      <c r="K557" s="292">
        <f t="shared" si="221"/>
        <v>0.05</v>
      </c>
      <c r="L557" s="292">
        <f t="shared" si="221"/>
        <v>0.05</v>
      </c>
      <c r="M557" s="292">
        <f t="shared" si="221"/>
        <v>0.05</v>
      </c>
      <c r="N557" s="292">
        <f t="shared" si="221"/>
        <v>0.05</v>
      </c>
      <c r="O557" s="292">
        <f t="shared" si="221"/>
        <v>0.05</v>
      </c>
      <c r="P557" s="292">
        <f t="shared" si="221"/>
        <v>0.05</v>
      </c>
      <c r="Q557" s="292">
        <f t="shared" si="221"/>
        <v>0.05</v>
      </c>
      <c r="R557" s="292">
        <f t="shared" si="221"/>
        <v>0.05</v>
      </c>
      <c r="S557" s="292">
        <f t="shared" si="221"/>
        <v>0.05</v>
      </c>
      <c r="T557" s="292">
        <f t="shared" si="221"/>
        <v>0.05</v>
      </c>
      <c r="U557" s="292">
        <f t="shared" si="221"/>
        <v>0.05</v>
      </c>
      <c r="V557" s="292">
        <f t="shared" si="221"/>
        <v>0.05</v>
      </c>
      <c r="W557" s="292">
        <f t="shared" si="221"/>
        <v>0.05</v>
      </c>
      <c r="X557" s="292">
        <f t="shared" si="221"/>
        <v>0.05</v>
      </c>
      <c r="Y557" s="292">
        <f t="shared" si="221"/>
        <v>0.05</v>
      </c>
      <c r="Z557" s="292">
        <f t="shared" si="221"/>
        <v>0.05</v>
      </c>
      <c r="AA557" s="292">
        <f t="shared" si="221"/>
        <v>0.05</v>
      </c>
      <c r="AB557" s="292">
        <f t="shared" si="221"/>
        <v>0.05</v>
      </c>
      <c r="AC557" s="292">
        <f t="shared" si="221"/>
        <v>0.05</v>
      </c>
      <c r="AD557" s="292">
        <f t="shared" si="221"/>
        <v>0.05</v>
      </c>
    </row>
    <row r="558" spans="1:30" outlineLevel="1">
      <c r="A558" s="214" t="s">
        <v>184</v>
      </c>
      <c r="B558" s="214" t="s">
        <v>284</v>
      </c>
      <c r="C558" s="42"/>
      <c r="D558" s="292">
        <v>0.11</v>
      </c>
      <c r="E558" s="292">
        <f t="shared" si="221"/>
        <v>0.11</v>
      </c>
      <c r="F558" s="292">
        <f t="shared" si="221"/>
        <v>0.11</v>
      </c>
      <c r="G558" s="292">
        <f t="shared" si="221"/>
        <v>0.11</v>
      </c>
      <c r="H558" s="292">
        <f t="shared" si="221"/>
        <v>0.11</v>
      </c>
      <c r="I558" s="292">
        <f t="shared" si="221"/>
        <v>0.11</v>
      </c>
      <c r="J558" s="292">
        <f t="shared" si="221"/>
        <v>0.11</v>
      </c>
      <c r="K558" s="292">
        <f t="shared" si="221"/>
        <v>0.11</v>
      </c>
      <c r="L558" s="292">
        <f t="shared" si="221"/>
        <v>0.11</v>
      </c>
      <c r="M558" s="292">
        <f t="shared" si="221"/>
        <v>0.11</v>
      </c>
      <c r="N558" s="292">
        <f t="shared" si="221"/>
        <v>0.11</v>
      </c>
      <c r="O558" s="292">
        <f t="shared" si="221"/>
        <v>0.11</v>
      </c>
      <c r="P558" s="292">
        <f t="shared" si="221"/>
        <v>0.11</v>
      </c>
      <c r="Q558" s="292">
        <f t="shared" si="221"/>
        <v>0.11</v>
      </c>
      <c r="R558" s="292">
        <f t="shared" si="221"/>
        <v>0.11</v>
      </c>
      <c r="S558" s="292">
        <f t="shared" si="221"/>
        <v>0.11</v>
      </c>
      <c r="T558" s="292">
        <f t="shared" si="221"/>
        <v>0.11</v>
      </c>
      <c r="U558" s="292">
        <f t="shared" si="221"/>
        <v>0.11</v>
      </c>
      <c r="V558" s="292">
        <f t="shared" si="221"/>
        <v>0.11</v>
      </c>
      <c r="W558" s="292">
        <f t="shared" si="221"/>
        <v>0.11</v>
      </c>
      <c r="X558" s="292">
        <f t="shared" si="221"/>
        <v>0.11</v>
      </c>
      <c r="Y558" s="292">
        <f t="shared" si="221"/>
        <v>0.11</v>
      </c>
      <c r="Z558" s="292">
        <f t="shared" si="221"/>
        <v>0.11</v>
      </c>
      <c r="AA558" s="292">
        <f t="shared" si="221"/>
        <v>0.11</v>
      </c>
      <c r="AB558" s="292">
        <f t="shared" si="221"/>
        <v>0.11</v>
      </c>
      <c r="AC558" s="292">
        <f t="shared" si="221"/>
        <v>0.11</v>
      </c>
      <c r="AD558" s="292">
        <f t="shared" si="221"/>
        <v>0.11</v>
      </c>
    </row>
    <row r="559" spans="1:30" s="45" customFormat="1" outlineLevel="1">
      <c r="A559" s="45" t="str">
        <f>A553</f>
        <v>Insurance, Audit &amp; Legal</v>
      </c>
      <c r="B559" s="13" t="s">
        <v>284</v>
      </c>
      <c r="C559" s="42">
        <f>SUM(D559:AD559)</f>
        <v>31.320000000000004</v>
      </c>
      <c r="D559" s="101">
        <f t="shared" ref="D559:AD559" si="222">SUM(D555:D558)</f>
        <v>1.1600000000000001</v>
      </c>
      <c r="E559" s="101">
        <f t="shared" si="222"/>
        <v>1.1600000000000001</v>
      </c>
      <c r="F559" s="101">
        <f t="shared" si="222"/>
        <v>1.1600000000000001</v>
      </c>
      <c r="G559" s="101">
        <f t="shared" si="222"/>
        <v>1.1600000000000001</v>
      </c>
      <c r="H559" s="101">
        <f t="shared" si="222"/>
        <v>1.1600000000000001</v>
      </c>
      <c r="I559" s="101">
        <f t="shared" si="222"/>
        <v>1.1600000000000001</v>
      </c>
      <c r="J559" s="101">
        <f t="shared" si="222"/>
        <v>1.1600000000000001</v>
      </c>
      <c r="K559" s="101">
        <f t="shared" si="222"/>
        <v>1.1600000000000001</v>
      </c>
      <c r="L559" s="101">
        <f t="shared" si="222"/>
        <v>1.1600000000000001</v>
      </c>
      <c r="M559" s="101">
        <f t="shared" si="222"/>
        <v>1.1600000000000001</v>
      </c>
      <c r="N559" s="101">
        <f t="shared" si="222"/>
        <v>1.1600000000000001</v>
      </c>
      <c r="O559" s="101">
        <f t="shared" si="222"/>
        <v>1.1600000000000001</v>
      </c>
      <c r="P559" s="101">
        <f t="shared" si="222"/>
        <v>1.1600000000000001</v>
      </c>
      <c r="Q559" s="101">
        <f t="shared" si="222"/>
        <v>1.1600000000000001</v>
      </c>
      <c r="R559" s="101">
        <f t="shared" si="222"/>
        <v>1.1600000000000001</v>
      </c>
      <c r="S559" s="101">
        <f t="shared" si="222"/>
        <v>1.1600000000000001</v>
      </c>
      <c r="T559" s="101">
        <f t="shared" si="222"/>
        <v>1.1600000000000001</v>
      </c>
      <c r="U559" s="101">
        <f t="shared" si="222"/>
        <v>1.1600000000000001</v>
      </c>
      <c r="V559" s="101">
        <f t="shared" si="222"/>
        <v>1.1600000000000001</v>
      </c>
      <c r="W559" s="101">
        <f t="shared" si="222"/>
        <v>1.1600000000000001</v>
      </c>
      <c r="X559" s="101">
        <f t="shared" si="222"/>
        <v>1.1600000000000001</v>
      </c>
      <c r="Y559" s="101">
        <f t="shared" si="222"/>
        <v>1.1600000000000001</v>
      </c>
      <c r="Z559" s="101">
        <f t="shared" si="222"/>
        <v>1.1600000000000001</v>
      </c>
      <c r="AA559" s="101">
        <f t="shared" si="222"/>
        <v>1.1600000000000001</v>
      </c>
      <c r="AB559" s="101">
        <f t="shared" si="222"/>
        <v>1.1600000000000001</v>
      </c>
      <c r="AC559" s="101">
        <f t="shared" si="222"/>
        <v>1.1600000000000001</v>
      </c>
      <c r="AD559" s="101">
        <f t="shared" si="222"/>
        <v>1.1600000000000001</v>
      </c>
    </row>
    <row r="560" spans="1:30" s="45" customFormat="1" ht="12.65" customHeight="1" outlineLevel="1">
      <c r="B560" s="13"/>
      <c r="C560" s="44"/>
      <c r="D560" s="57"/>
      <c r="E560" s="57"/>
      <c r="F560" s="57"/>
      <c r="G560" s="57"/>
      <c r="H560" s="57"/>
      <c r="I560" s="57"/>
      <c r="J560" s="57"/>
      <c r="K560" s="57"/>
      <c r="L560" s="57"/>
      <c r="M560" s="57"/>
      <c r="N560" s="57"/>
      <c r="O560" s="57"/>
      <c r="P560" s="57"/>
      <c r="Q560" s="57"/>
      <c r="R560" s="57"/>
      <c r="S560" s="57"/>
      <c r="T560" s="57"/>
      <c r="U560" s="57"/>
      <c r="V560" s="57"/>
      <c r="W560" s="57"/>
      <c r="X560" s="57"/>
      <c r="Y560" s="57"/>
      <c r="Z560" s="57"/>
      <c r="AA560" s="57"/>
      <c r="AB560" s="57"/>
      <c r="AC560" s="57"/>
      <c r="AD560" s="57"/>
    </row>
    <row r="561" spans="1:30" s="116" customFormat="1" ht="23.4" customHeight="1" outlineLevel="1">
      <c r="A561" s="146" t="s">
        <v>186</v>
      </c>
      <c r="B561" s="114"/>
      <c r="C561" s="40"/>
      <c r="D561" s="115"/>
      <c r="E561" s="115"/>
      <c r="F561" s="115"/>
      <c r="G561" s="115"/>
      <c r="H561" s="115"/>
      <c r="I561" s="115"/>
      <c r="J561" s="115"/>
      <c r="K561" s="115"/>
      <c r="L561" s="115"/>
      <c r="M561" s="115"/>
      <c r="N561" s="115"/>
      <c r="O561" s="115"/>
      <c r="P561" s="115"/>
      <c r="Q561" s="115"/>
      <c r="R561" s="115"/>
      <c r="S561" s="115"/>
      <c r="T561" s="115"/>
      <c r="U561" s="115"/>
      <c r="V561" s="115"/>
      <c r="W561" s="115"/>
      <c r="X561" s="115"/>
      <c r="Y561" s="115"/>
      <c r="Z561" s="115"/>
      <c r="AA561" s="115"/>
      <c r="AB561" s="115"/>
      <c r="AC561" s="115"/>
      <c r="AD561" s="115"/>
    </row>
    <row r="562" spans="1:30" s="62" customFormat="1" outlineLevel="1">
      <c r="A562" s="13" t="s">
        <v>563</v>
      </c>
      <c r="B562" s="60"/>
      <c r="C562" s="42"/>
      <c r="D562" s="61"/>
      <c r="E562" s="61"/>
      <c r="F562" s="61"/>
      <c r="G562" s="61"/>
      <c r="H562" s="61"/>
      <c r="I562" s="61"/>
      <c r="J562" s="61"/>
      <c r="K562" s="61"/>
      <c r="L562" s="61"/>
      <c r="M562" s="61"/>
      <c r="N562" s="61"/>
      <c r="O562" s="61"/>
      <c r="P562" s="61"/>
      <c r="Q562" s="61"/>
      <c r="R562" s="61"/>
      <c r="S562" s="61"/>
      <c r="T562" s="61"/>
      <c r="U562" s="61"/>
      <c r="V562" s="61"/>
      <c r="W562" s="61"/>
      <c r="X562" s="61"/>
      <c r="Y562" s="61"/>
      <c r="Z562" s="61"/>
      <c r="AA562" s="61"/>
      <c r="AB562" s="61"/>
      <c r="AC562" s="61"/>
      <c r="AD562" s="61"/>
    </row>
    <row r="563" spans="1:30" outlineLevel="1">
      <c r="A563" s="214" t="s">
        <v>341</v>
      </c>
      <c r="B563" s="214" t="s">
        <v>284</v>
      </c>
      <c r="C563" s="42"/>
      <c r="D563" s="292">
        <v>0.18</v>
      </c>
      <c r="E563" s="292">
        <f t="shared" ref="E563:AD565" si="223">D563</f>
        <v>0.18</v>
      </c>
      <c r="F563" s="292">
        <f t="shared" si="223"/>
        <v>0.18</v>
      </c>
      <c r="G563" s="292">
        <f t="shared" si="223"/>
        <v>0.18</v>
      </c>
      <c r="H563" s="292">
        <f t="shared" si="223"/>
        <v>0.18</v>
      </c>
      <c r="I563" s="292">
        <f t="shared" si="223"/>
        <v>0.18</v>
      </c>
      <c r="J563" s="292">
        <f t="shared" si="223"/>
        <v>0.18</v>
      </c>
      <c r="K563" s="292">
        <f t="shared" si="223"/>
        <v>0.18</v>
      </c>
      <c r="L563" s="292">
        <f t="shared" si="223"/>
        <v>0.18</v>
      </c>
      <c r="M563" s="292">
        <f t="shared" si="223"/>
        <v>0.18</v>
      </c>
      <c r="N563" s="292">
        <f t="shared" si="223"/>
        <v>0.18</v>
      </c>
      <c r="O563" s="292">
        <f t="shared" si="223"/>
        <v>0.18</v>
      </c>
      <c r="P563" s="292">
        <f t="shared" si="223"/>
        <v>0.18</v>
      </c>
      <c r="Q563" s="292">
        <f t="shared" si="223"/>
        <v>0.18</v>
      </c>
      <c r="R563" s="292">
        <f t="shared" si="223"/>
        <v>0.18</v>
      </c>
      <c r="S563" s="292">
        <f t="shared" si="223"/>
        <v>0.18</v>
      </c>
      <c r="T563" s="292">
        <f t="shared" si="223"/>
        <v>0.18</v>
      </c>
      <c r="U563" s="292">
        <f t="shared" si="223"/>
        <v>0.18</v>
      </c>
      <c r="V563" s="292">
        <f t="shared" si="223"/>
        <v>0.18</v>
      </c>
      <c r="W563" s="292">
        <f t="shared" si="223"/>
        <v>0.18</v>
      </c>
      <c r="X563" s="292">
        <f t="shared" si="223"/>
        <v>0.18</v>
      </c>
      <c r="Y563" s="292">
        <f t="shared" si="223"/>
        <v>0.18</v>
      </c>
      <c r="Z563" s="292">
        <f t="shared" si="223"/>
        <v>0.18</v>
      </c>
      <c r="AA563" s="292">
        <f t="shared" si="223"/>
        <v>0.18</v>
      </c>
      <c r="AB563" s="292">
        <f t="shared" si="223"/>
        <v>0.18</v>
      </c>
      <c r="AC563" s="292">
        <f t="shared" si="223"/>
        <v>0.18</v>
      </c>
      <c r="AD563" s="292">
        <f t="shared" si="223"/>
        <v>0.18</v>
      </c>
    </row>
    <row r="564" spans="1:30" outlineLevel="1">
      <c r="A564" s="214" t="s">
        <v>344</v>
      </c>
      <c r="B564" s="214" t="s">
        <v>284</v>
      </c>
      <c r="C564" s="42"/>
      <c r="D564" s="292">
        <v>0.42</v>
      </c>
      <c r="E564" s="292">
        <f t="shared" si="223"/>
        <v>0.42</v>
      </c>
      <c r="F564" s="292">
        <f t="shared" si="223"/>
        <v>0.42</v>
      </c>
      <c r="G564" s="292">
        <f t="shared" si="223"/>
        <v>0.42</v>
      </c>
      <c r="H564" s="292">
        <f t="shared" si="223"/>
        <v>0.42</v>
      </c>
      <c r="I564" s="292">
        <f t="shared" si="223"/>
        <v>0.42</v>
      </c>
      <c r="J564" s="292">
        <f t="shared" si="223"/>
        <v>0.42</v>
      </c>
      <c r="K564" s="292">
        <f t="shared" si="223"/>
        <v>0.42</v>
      </c>
      <c r="L564" s="292">
        <f t="shared" si="223"/>
        <v>0.42</v>
      </c>
      <c r="M564" s="292">
        <f t="shared" si="223"/>
        <v>0.42</v>
      </c>
      <c r="N564" s="292">
        <f t="shared" si="223"/>
        <v>0.42</v>
      </c>
      <c r="O564" s="292">
        <f t="shared" si="223"/>
        <v>0.42</v>
      </c>
      <c r="P564" s="292">
        <f t="shared" si="223"/>
        <v>0.42</v>
      </c>
      <c r="Q564" s="292">
        <f t="shared" si="223"/>
        <v>0.42</v>
      </c>
      <c r="R564" s="292">
        <f t="shared" si="223"/>
        <v>0.42</v>
      </c>
      <c r="S564" s="292">
        <f t="shared" si="223"/>
        <v>0.42</v>
      </c>
      <c r="T564" s="292">
        <f t="shared" si="223"/>
        <v>0.42</v>
      </c>
      <c r="U564" s="292">
        <f t="shared" si="223"/>
        <v>0.42</v>
      </c>
      <c r="V564" s="292">
        <f t="shared" si="223"/>
        <v>0.42</v>
      </c>
      <c r="W564" s="292">
        <f t="shared" si="223"/>
        <v>0.42</v>
      </c>
      <c r="X564" s="292">
        <f t="shared" si="223"/>
        <v>0.42</v>
      </c>
      <c r="Y564" s="292">
        <f t="shared" si="223"/>
        <v>0.42</v>
      </c>
      <c r="Z564" s="292">
        <f t="shared" si="223"/>
        <v>0.42</v>
      </c>
      <c r="AA564" s="292">
        <f t="shared" si="223"/>
        <v>0.42</v>
      </c>
      <c r="AB564" s="292">
        <f t="shared" si="223"/>
        <v>0.42</v>
      </c>
      <c r="AC564" s="292">
        <f t="shared" si="223"/>
        <v>0.42</v>
      </c>
      <c r="AD564" s="292">
        <f t="shared" si="223"/>
        <v>0.42</v>
      </c>
    </row>
    <row r="565" spans="1:30" outlineLevel="1">
      <c r="A565" s="214" t="s">
        <v>187</v>
      </c>
      <c r="B565" s="214" t="s">
        <v>284</v>
      </c>
      <c r="C565" s="42"/>
      <c r="D565" s="292">
        <v>0.25</v>
      </c>
      <c r="E565" s="292">
        <f t="shared" si="223"/>
        <v>0.25</v>
      </c>
      <c r="F565" s="292">
        <f t="shared" si="223"/>
        <v>0.25</v>
      </c>
      <c r="G565" s="292">
        <f t="shared" si="223"/>
        <v>0.25</v>
      </c>
      <c r="H565" s="292">
        <f t="shared" si="223"/>
        <v>0.25</v>
      </c>
      <c r="I565" s="292">
        <f t="shared" si="223"/>
        <v>0.25</v>
      </c>
      <c r="J565" s="292">
        <f t="shared" si="223"/>
        <v>0.25</v>
      </c>
      <c r="K565" s="292">
        <f t="shared" si="223"/>
        <v>0.25</v>
      </c>
      <c r="L565" s="292">
        <f t="shared" si="223"/>
        <v>0.25</v>
      </c>
      <c r="M565" s="292">
        <f t="shared" si="223"/>
        <v>0.25</v>
      </c>
      <c r="N565" s="292">
        <f t="shared" si="223"/>
        <v>0.25</v>
      </c>
      <c r="O565" s="292">
        <f t="shared" si="223"/>
        <v>0.25</v>
      </c>
      <c r="P565" s="292">
        <f t="shared" si="223"/>
        <v>0.25</v>
      </c>
      <c r="Q565" s="292">
        <f t="shared" si="223"/>
        <v>0.25</v>
      </c>
      <c r="R565" s="292">
        <f t="shared" si="223"/>
        <v>0.25</v>
      </c>
      <c r="S565" s="292">
        <f t="shared" si="223"/>
        <v>0.25</v>
      </c>
      <c r="T565" s="292">
        <f t="shared" si="223"/>
        <v>0.25</v>
      </c>
      <c r="U565" s="292">
        <f t="shared" si="223"/>
        <v>0.25</v>
      </c>
      <c r="V565" s="292">
        <f t="shared" si="223"/>
        <v>0.25</v>
      </c>
      <c r="W565" s="292">
        <f t="shared" si="223"/>
        <v>0.25</v>
      </c>
      <c r="X565" s="292">
        <f t="shared" si="223"/>
        <v>0.25</v>
      </c>
      <c r="Y565" s="292">
        <f t="shared" si="223"/>
        <v>0.25</v>
      </c>
      <c r="Z565" s="292">
        <f t="shared" si="223"/>
        <v>0.25</v>
      </c>
      <c r="AA565" s="292">
        <f t="shared" si="223"/>
        <v>0.25</v>
      </c>
      <c r="AB565" s="292">
        <f t="shared" si="223"/>
        <v>0.25</v>
      </c>
      <c r="AC565" s="292">
        <f t="shared" si="223"/>
        <v>0.25</v>
      </c>
      <c r="AD565" s="292">
        <f t="shared" si="223"/>
        <v>0.25</v>
      </c>
    </row>
    <row r="566" spans="1:30" s="45" customFormat="1" outlineLevel="1">
      <c r="A566" s="45" t="str">
        <f>A561</f>
        <v>Licences, Permits, Fees</v>
      </c>
      <c r="B566" s="13" t="s">
        <v>284</v>
      </c>
      <c r="C566" s="42">
        <f>SUM(D566:AD566)</f>
        <v>12.749999999999996</v>
      </c>
      <c r="D566" s="101">
        <f t="shared" ref="D566:AD566" si="224">IF(D$154=0,0,SUM(D563:D565))</f>
        <v>0</v>
      </c>
      <c r="E566" s="101">
        <f t="shared" si="224"/>
        <v>0</v>
      </c>
      <c r="F566" s="101">
        <f t="shared" si="224"/>
        <v>0.85</v>
      </c>
      <c r="G566" s="101">
        <f t="shared" si="224"/>
        <v>0.85</v>
      </c>
      <c r="H566" s="101">
        <f t="shared" si="224"/>
        <v>0.85</v>
      </c>
      <c r="I566" s="101">
        <f t="shared" si="224"/>
        <v>0.85</v>
      </c>
      <c r="J566" s="101">
        <f t="shared" si="224"/>
        <v>0.85</v>
      </c>
      <c r="K566" s="101">
        <f t="shared" si="224"/>
        <v>0.85</v>
      </c>
      <c r="L566" s="101">
        <f t="shared" si="224"/>
        <v>0.85</v>
      </c>
      <c r="M566" s="101">
        <f t="shared" si="224"/>
        <v>0.85</v>
      </c>
      <c r="N566" s="101">
        <f t="shared" si="224"/>
        <v>0.85</v>
      </c>
      <c r="O566" s="101">
        <f t="shared" si="224"/>
        <v>0.85</v>
      </c>
      <c r="P566" s="101">
        <f t="shared" si="224"/>
        <v>0.85</v>
      </c>
      <c r="Q566" s="101">
        <f t="shared" si="224"/>
        <v>0.85</v>
      </c>
      <c r="R566" s="101">
        <f t="shared" si="224"/>
        <v>0.85</v>
      </c>
      <c r="S566" s="101">
        <f t="shared" si="224"/>
        <v>0.85</v>
      </c>
      <c r="T566" s="101">
        <f t="shared" si="224"/>
        <v>0.85</v>
      </c>
      <c r="U566" s="101">
        <f t="shared" si="224"/>
        <v>0</v>
      </c>
      <c r="V566" s="101">
        <f t="shared" si="224"/>
        <v>0</v>
      </c>
      <c r="W566" s="101">
        <f t="shared" si="224"/>
        <v>0</v>
      </c>
      <c r="X566" s="101">
        <f t="shared" si="224"/>
        <v>0</v>
      </c>
      <c r="Y566" s="101">
        <f t="shared" si="224"/>
        <v>0</v>
      </c>
      <c r="Z566" s="101">
        <f t="shared" si="224"/>
        <v>0</v>
      </c>
      <c r="AA566" s="101">
        <f t="shared" si="224"/>
        <v>0</v>
      </c>
      <c r="AB566" s="101">
        <f t="shared" si="224"/>
        <v>0</v>
      </c>
      <c r="AC566" s="101">
        <f t="shared" si="224"/>
        <v>0</v>
      </c>
      <c r="AD566" s="101">
        <f t="shared" si="224"/>
        <v>0</v>
      </c>
    </row>
    <row r="567" spans="1:30" s="62" customFormat="1" outlineLevel="1">
      <c r="A567" s="41"/>
      <c r="B567" s="60"/>
      <c r="C567" s="42"/>
      <c r="D567" s="61"/>
      <c r="E567" s="61"/>
      <c r="F567" s="61"/>
      <c r="G567" s="61"/>
      <c r="H567" s="61"/>
      <c r="I567" s="61"/>
      <c r="J567" s="61"/>
      <c r="K567" s="61"/>
      <c r="L567" s="61"/>
      <c r="M567" s="61"/>
      <c r="N567" s="61"/>
      <c r="O567" s="61"/>
      <c r="P567" s="61"/>
      <c r="Q567" s="61"/>
      <c r="R567" s="61"/>
      <c r="S567" s="61"/>
      <c r="T567" s="61"/>
      <c r="U567" s="61"/>
      <c r="V567" s="61"/>
      <c r="W567" s="61"/>
      <c r="X567" s="61"/>
      <c r="Y567" s="61"/>
      <c r="Z567" s="61"/>
      <c r="AA567" s="61"/>
      <c r="AB567" s="61"/>
      <c r="AC567" s="61"/>
      <c r="AD567" s="61"/>
    </row>
    <row r="568" spans="1:30" s="116" customFormat="1" ht="23.4" customHeight="1" outlineLevel="1">
      <c r="A568" s="146" t="s">
        <v>371</v>
      </c>
      <c r="B568" s="114"/>
      <c r="C568" s="40"/>
      <c r="D568" s="115"/>
      <c r="E568" s="115"/>
      <c r="F568" s="115"/>
      <c r="G568" s="115"/>
      <c r="H568" s="115"/>
      <c r="I568" s="115"/>
      <c r="J568" s="115"/>
      <c r="K568" s="115"/>
      <c r="L568" s="115"/>
      <c r="M568" s="115"/>
      <c r="N568" s="115"/>
      <c r="O568" s="115"/>
      <c r="P568" s="115"/>
      <c r="Q568" s="115"/>
      <c r="R568" s="115"/>
      <c r="S568" s="115"/>
      <c r="T568" s="115"/>
      <c r="U568" s="115"/>
      <c r="V568" s="115"/>
      <c r="W568" s="115"/>
      <c r="X568" s="115"/>
      <c r="Y568" s="115"/>
      <c r="Z568" s="115"/>
      <c r="AA568" s="115"/>
      <c r="AB568" s="115"/>
      <c r="AC568" s="115"/>
      <c r="AD568" s="115"/>
    </row>
    <row r="569" spans="1:30" s="65" customFormat="1" outlineLevel="1">
      <c r="A569" s="13" t="s">
        <v>564</v>
      </c>
      <c r="B569" s="52"/>
      <c r="C569" s="54"/>
      <c r="D569" s="54"/>
      <c r="E569" s="54"/>
      <c r="F569" s="54"/>
      <c r="G569" s="54"/>
      <c r="H569" s="54"/>
      <c r="I569" s="54"/>
      <c r="J569" s="54"/>
      <c r="K569" s="54"/>
      <c r="L569" s="54"/>
      <c r="M569" s="54"/>
      <c r="N569" s="54"/>
      <c r="O569" s="54"/>
      <c r="P569" s="54"/>
      <c r="Q569" s="54"/>
      <c r="R569" s="54"/>
      <c r="S569" s="54"/>
      <c r="T569" s="54"/>
      <c r="U569" s="54"/>
      <c r="V569" s="54"/>
      <c r="W569" s="54"/>
      <c r="X569" s="54"/>
      <c r="Y569" s="54"/>
      <c r="Z569" s="54"/>
      <c r="AA569" s="54"/>
      <c r="AB569" s="54"/>
      <c r="AC569" s="54"/>
      <c r="AD569" s="54"/>
    </row>
    <row r="570" spans="1:30" s="45" customFormat="1" outlineLevel="1">
      <c r="A570" s="45" t="str">
        <f>A154</f>
        <v>ore feed to processing - aggregate</v>
      </c>
      <c r="B570" s="45" t="str">
        <f>B154</f>
        <v>millions dry tonnes</v>
      </c>
      <c r="C570" s="42">
        <f>SUM(D570:AD570)</f>
        <v>103</v>
      </c>
      <c r="D570" s="42">
        <f t="shared" ref="D570:AD570" si="225">D154</f>
        <v>0</v>
      </c>
      <c r="E570" s="42">
        <f t="shared" si="225"/>
        <v>0</v>
      </c>
      <c r="F570" s="42">
        <f t="shared" si="225"/>
        <v>4.1923076923076925</v>
      </c>
      <c r="G570" s="42">
        <f t="shared" si="225"/>
        <v>7</v>
      </c>
      <c r="H570" s="42">
        <f t="shared" si="225"/>
        <v>7</v>
      </c>
      <c r="I570" s="42">
        <f t="shared" si="225"/>
        <v>7</v>
      </c>
      <c r="J570" s="42">
        <f t="shared" si="225"/>
        <v>7.3461538461538458</v>
      </c>
      <c r="K570" s="42">
        <f t="shared" si="225"/>
        <v>6.6538461538461542</v>
      </c>
      <c r="L570" s="42">
        <f t="shared" si="225"/>
        <v>7</v>
      </c>
      <c r="M570" s="42">
        <f t="shared" si="225"/>
        <v>7</v>
      </c>
      <c r="N570" s="42">
        <f t="shared" si="225"/>
        <v>7</v>
      </c>
      <c r="O570" s="42">
        <f t="shared" si="225"/>
        <v>7</v>
      </c>
      <c r="P570" s="42">
        <f t="shared" si="225"/>
        <v>7</v>
      </c>
      <c r="Q570" s="42">
        <f t="shared" si="225"/>
        <v>7</v>
      </c>
      <c r="R570" s="42">
        <f t="shared" si="225"/>
        <v>7</v>
      </c>
      <c r="S570" s="42">
        <f t="shared" si="225"/>
        <v>7</v>
      </c>
      <c r="T570" s="42">
        <f t="shared" si="225"/>
        <v>7.8076923076923075</v>
      </c>
      <c r="U570" s="42">
        <f t="shared" si="225"/>
        <v>0</v>
      </c>
      <c r="V570" s="42">
        <f t="shared" si="225"/>
        <v>0</v>
      </c>
      <c r="W570" s="42">
        <f t="shared" si="225"/>
        <v>0</v>
      </c>
      <c r="X570" s="42">
        <f t="shared" si="225"/>
        <v>0</v>
      </c>
      <c r="Y570" s="42">
        <f t="shared" si="225"/>
        <v>0</v>
      </c>
      <c r="Z570" s="42">
        <f t="shared" si="225"/>
        <v>0</v>
      </c>
      <c r="AA570" s="42">
        <f t="shared" si="225"/>
        <v>0</v>
      </c>
      <c r="AB570" s="42">
        <f t="shared" si="225"/>
        <v>0</v>
      </c>
      <c r="AC570" s="42">
        <f t="shared" si="225"/>
        <v>0</v>
      </c>
      <c r="AD570" s="42">
        <f t="shared" si="225"/>
        <v>0</v>
      </c>
    </row>
    <row r="571" spans="1:30" outlineLevel="1">
      <c r="A571" s="214" t="s">
        <v>372</v>
      </c>
      <c r="B571" s="214" t="s">
        <v>284</v>
      </c>
      <c r="C571" s="42"/>
      <c r="D571" s="292">
        <v>0.38</v>
      </c>
      <c r="E571" s="292">
        <f t="shared" ref="E571:AD571" si="226">D571</f>
        <v>0.38</v>
      </c>
      <c r="F571" s="292">
        <f t="shared" si="226"/>
        <v>0.38</v>
      </c>
      <c r="G571" s="292">
        <f t="shared" si="226"/>
        <v>0.38</v>
      </c>
      <c r="H571" s="292">
        <f t="shared" si="226"/>
        <v>0.38</v>
      </c>
      <c r="I571" s="292">
        <f t="shared" si="226"/>
        <v>0.38</v>
      </c>
      <c r="J571" s="292">
        <f t="shared" si="226"/>
        <v>0.38</v>
      </c>
      <c r="K571" s="292">
        <f t="shared" si="226"/>
        <v>0.38</v>
      </c>
      <c r="L571" s="292">
        <f t="shared" si="226"/>
        <v>0.38</v>
      </c>
      <c r="M571" s="292">
        <f t="shared" si="226"/>
        <v>0.38</v>
      </c>
      <c r="N571" s="292">
        <f t="shared" si="226"/>
        <v>0.38</v>
      </c>
      <c r="O571" s="292">
        <f t="shared" si="226"/>
        <v>0.38</v>
      </c>
      <c r="P571" s="292">
        <f t="shared" si="226"/>
        <v>0.38</v>
      </c>
      <c r="Q571" s="292">
        <f t="shared" si="226"/>
        <v>0.38</v>
      </c>
      <c r="R571" s="292">
        <f t="shared" si="226"/>
        <v>0.38</v>
      </c>
      <c r="S571" s="292">
        <f t="shared" si="226"/>
        <v>0.38</v>
      </c>
      <c r="T571" s="292">
        <f t="shared" si="226"/>
        <v>0.38</v>
      </c>
      <c r="U571" s="292">
        <f t="shared" si="226"/>
        <v>0.38</v>
      </c>
      <c r="V571" s="292">
        <f t="shared" si="226"/>
        <v>0.38</v>
      </c>
      <c r="W571" s="292">
        <f t="shared" si="226"/>
        <v>0.38</v>
      </c>
      <c r="X571" s="292">
        <f t="shared" si="226"/>
        <v>0.38</v>
      </c>
      <c r="Y571" s="292">
        <f t="shared" si="226"/>
        <v>0.38</v>
      </c>
      <c r="Z571" s="292">
        <f t="shared" si="226"/>
        <v>0.38</v>
      </c>
      <c r="AA571" s="292">
        <f t="shared" si="226"/>
        <v>0.38</v>
      </c>
      <c r="AB571" s="292">
        <f t="shared" si="226"/>
        <v>0.38</v>
      </c>
      <c r="AC571" s="292">
        <f t="shared" si="226"/>
        <v>0.38</v>
      </c>
      <c r="AD571" s="292">
        <f t="shared" si="226"/>
        <v>0.38</v>
      </c>
    </row>
    <row r="572" spans="1:30" s="45" customFormat="1" outlineLevel="1">
      <c r="A572" s="45" t="str">
        <f>A568</f>
        <v>Head Office - incremental</v>
      </c>
      <c r="B572" s="13" t="s">
        <v>407</v>
      </c>
      <c r="C572" s="42">
        <f>SUM(D572:AD572)</f>
        <v>5.6999999999999993</v>
      </c>
      <c r="D572" s="101">
        <f t="shared" ref="D572:AD572" si="227">IF(D154=0,0,D571)</f>
        <v>0</v>
      </c>
      <c r="E572" s="101">
        <f t="shared" si="227"/>
        <v>0</v>
      </c>
      <c r="F572" s="101">
        <f t="shared" si="227"/>
        <v>0.38</v>
      </c>
      <c r="G572" s="101">
        <f t="shared" si="227"/>
        <v>0.38</v>
      </c>
      <c r="H572" s="101">
        <f t="shared" si="227"/>
        <v>0.38</v>
      </c>
      <c r="I572" s="101">
        <f t="shared" si="227"/>
        <v>0.38</v>
      </c>
      <c r="J572" s="101">
        <f t="shared" si="227"/>
        <v>0.38</v>
      </c>
      <c r="K572" s="101">
        <f t="shared" si="227"/>
        <v>0.38</v>
      </c>
      <c r="L572" s="101">
        <f t="shared" si="227"/>
        <v>0.38</v>
      </c>
      <c r="M572" s="101">
        <f t="shared" si="227"/>
        <v>0.38</v>
      </c>
      <c r="N572" s="101">
        <f t="shared" si="227"/>
        <v>0.38</v>
      </c>
      <c r="O572" s="101">
        <f t="shared" si="227"/>
        <v>0.38</v>
      </c>
      <c r="P572" s="101">
        <f t="shared" si="227"/>
        <v>0.38</v>
      </c>
      <c r="Q572" s="101">
        <f t="shared" si="227"/>
        <v>0.38</v>
      </c>
      <c r="R572" s="101">
        <f t="shared" si="227"/>
        <v>0.38</v>
      </c>
      <c r="S572" s="101">
        <f t="shared" si="227"/>
        <v>0.38</v>
      </c>
      <c r="T572" s="101">
        <f t="shared" si="227"/>
        <v>0.38</v>
      </c>
      <c r="U572" s="101">
        <f t="shared" si="227"/>
        <v>0</v>
      </c>
      <c r="V572" s="101">
        <f t="shared" si="227"/>
        <v>0</v>
      </c>
      <c r="W572" s="101">
        <f t="shared" si="227"/>
        <v>0</v>
      </c>
      <c r="X572" s="101">
        <f t="shared" si="227"/>
        <v>0</v>
      </c>
      <c r="Y572" s="101">
        <f t="shared" si="227"/>
        <v>0</v>
      </c>
      <c r="Z572" s="101">
        <f t="shared" si="227"/>
        <v>0</v>
      </c>
      <c r="AA572" s="101">
        <f t="shared" si="227"/>
        <v>0</v>
      </c>
      <c r="AB572" s="101">
        <f t="shared" si="227"/>
        <v>0</v>
      </c>
      <c r="AC572" s="101">
        <f t="shared" si="227"/>
        <v>0</v>
      </c>
      <c r="AD572" s="101">
        <f t="shared" si="227"/>
        <v>0</v>
      </c>
    </row>
    <row r="573" spans="1:30" s="45" customFormat="1" ht="15.5" outlineLevel="1">
      <c r="A573" s="82"/>
      <c r="B573" s="13"/>
      <c r="C573" s="44"/>
      <c r="D573" s="83"/>
      <c r="E573" s="83"/>
      <c r="F573" s="83"/>
      <c r="G573" s="83"/>
      <c r="H573" s="83"/>
      <c r="I573" s="83"/>
      <c r="J573" s="83"/>
      <c r="K573" s="83"/>
      <c r="L573" s="83"/>
      <c r="M573" s="83"/>
      <c r="N573" s="83"/>
      <c r="O573" s="83"/>
      <c r="P573" s="83"/>
      <c r="Q573" s="83"/>
      <c r="R573" s="83"/>
      <c r="S573" s="83"/>
      <c r="T573" s="83"/>
      <c r="U573" s="83"/>
      <c r="V573" s="83"/>
      <c r="W573" s="83"/>
      <c r="X573" s="83"/>
      <c r="Y573" s="83"/>
      <c r="Z573" s="83"/>
      <c r="AA573" s="83"/>
      <c r="AB573" s="83"/>
      <c r="AC573" s="83"/>
      <c r="AD573" s="83"/>
    </row>
    <row r="574" spans="1:30" s="286" customFormat="1" ht="28.75" customHeight="1" outlineLevel="1">
      <c r="A574" s="127" t="s">
        <v>31</v>
      </c>
      <c r="B574" s="117" t="s">
        <v>285</v>
      </c>
      <c r="C574" s="232">
        <f>SUM(D574:AD574)</f>
        <v>422.58599999999996</v>
      </c>
      <c r="D574" s="287">
        <f t="shared" ref="D574:AD574" si="228">IF(D154=0,0,D535+D541+D551+D559+D566+D572)</f>
        <v>0</v>
      </c>
      <c r="E574" s="287">
        <f t="shared" si="228"/>
        <v>0</v>
      </c>
      <c r="F574" s="287">
        <f t="shared" si="228"/>
        <v>28.1724</v>
      </c>
      <c r="G574" s="287">
        <f t="shared" si="228"/>
        <v>28.1724</v>
      </c>
      <c r="H574" s="287">
        <f t="shared" si="228"/>
        <v>28.1724</v>
      </c>
      <c r="I574" s="287">
        <f t="shared" si="228"/>
        <v>28.1724</v>
      </c>
      <c r="J574" s="287">
        <f t="shared" si="228"/>
        <v>28.1724</v>
      </c>
      <c r="K574" s="287">
        <f t="shared" si="228"/>
        <v>28.1724</v>
      </c>
      <c r="L574" s="287">
        <f t="shared" si="228"/>
        <v>28.1724</v>
      </c>
      <c r="M574" s="287">
        <f t="shared" si="228"/>
        <v>28.1724</v>
      </c>
      <c r="N574" s="287">
        <f t="shared" si="228"/>
        <v>28.1724</v>
      </c>
      <c r="O574" s="287">
        <f t="shared" si="228"/>
        <v>28.1724</v>
      </c>
      <c r="P574" s="287">
        <f t="shared" si="228"/>
        <v>28.1724</v>
      </c>
      <c r="Q574" s="287">
        <f t="shared" si="228"/>
        <v>28.1724</v>
      </c>
      <c r="R574" s="287">
        <f t="shared" si="228"/>
        <v>28.1724</v>
      </c>
      <c r="S574" s="287">
        <f t="shared" si="228"/>
        <v>28.1724</v>
      </c>
      <c r="T574" s="287">
        <f t="shared" si="228"/>
        <v>28.1724</v>
      </c>
      <c r="U574" s="287">
        <f t="shared" si="228"/>
        <v>0</v>
      </c>
      <c r="V574" s="287">
        <f t="shared" si="228"/>
        <v>0</v>
      </c>
      <c r="W574" s="287">
        <f t="shared" si="228"/>
        <v>0</v>
      </c>
      <c r="X574" s="287">
        <f t="shared" si="228"/>
        <v>0</v>
      </c>
      <c r="Y574" s="287">
        <f t="shared" si="228"/>
        <v>0</v>
      </c>
      <c r="Z574" s="287">
        <f t="shared" si="228"/>
        <v>0</v>
      </c>
      <c r="AA574" s="287">
        <f t="shared" si="228"/>
        <v>0</v>
      </c>
      <c r="AB574" s="287">
        <f t="shared" si="228"/>
        <v>0</v>
      </c>
      <c r="AC574" s="287">
        <f t="shared" si="228"/>
        <v>0</v>
      </c>
      <c r="AD574" s="287">
        <f t="shared" si="228"/>
        <v>0</v>
      </c>
    </row>
    <row r="575" spans="1:30" s="45" customFormat="1" outlineLevel="1">
      <c r="A575" s="75" t="str">
        <f>A574&amp;"/tonne milled"</f>
        <v>General &amp; Administration/tonne milled</v>
      </c>
      <c r="B575" s="13" t="s">
        <v>303</v>
      </c>
      <c r="C575" s="57">
        <f>IF(C$154=0,0,C574/C$154)</f>
        <v>4.1027766990291257</v>
      </c>
      <c r="D575" s="57">
        <f t="shared" ref="D575:AD575" si="229">IF(D$154=0,0,D574/D$154)</f>
        <v>0</v>
      </c>
      <c r="E575" s="57">
        <f t="shared" si="229"/>
        <v>0</v>
      </c>
      <c r="F575" s="57">
        <f t="shared" si="229"/>
        <v>6.7200220183486232</v>
      </c>
      <c r="G575" s="57">
        <f t="shared" si="229"/>
        <v>4.024628571428571</v>
      </c>
      <c r="H575" s="57">
        <f t="shared" si="229"/>
        <v>4.024628571428571</v>
      </c>
      <c r="I575" s="57">
        <f t="shared" si="229"/>
        <v>4.024628571428571</v>
      </c>
      <c r="J575" s="57">
        <f t="shared" si="229"/>
        <v>3.8349863874345549</v>
      </c>
      <c r="K575" s="57">
        <f t="shared" si="229"/>
        <v>4.2340023121387285</v>
      </c>
      <c r="L575" s="57">
        <f t="shared" si="229"/>
        <v>4.024628571428571</v>
      </c>
      <c r="M575" s="57">
        <f t="shared" si="229"/>
        <v>4.024628571428571</v>
      </c>
      <c r="N575" s="57">
        <f t="shared" si="229"/>
        <v>4.024628571428571</v>
      </c>
      <c r="O575" s="57">
        <f t="shared" si="229"/>
        <v>4.024628571428571</v>
      </c>
      <c r="P575" s="57">
        <f t="shared" si="229"/>
        <v>4.024628571428571</v>
      </c>
      <c r="Q575" s="57">
        <f t="shared" si="229"/>
        <v>4.024628571428571</v>
      </c>
      <c r="R575" s="57">
        <f t="shared" si="229"/>
        <v>4.024628571428571</v>
      </c>
      <c r="S575" s="57">
        <f t="shared" si="229"/>
        <v>4.024628571428571</v>
      </c>
      <c r="T575" s="57">
        <f t="shared" si="229"/>
        <v>3.6082876847290639</v>
      </c>
      <c r="U575" s="57">
        <f t="shared" si="229"/>
        <v>0</v>
      </c>
      <c r="V575" s="57">
        <f t="shared" si="229"/>
        <v>0</v>
      </c>
      <c r="W575" s="57">
        <f t="shared" si="229"/>
        <v>0</v>
      </c>
      <c r="X575" s="57">
        <f t="shared" si="229"/>
        <v>0</v>
      </c>
      <c r="Y575" s="57">
        <f t="shared" si="229"/>
        <v>0</v>
      </c>
      <c r="Z575" s="57">
        <f t="shared" si="229"/>
        <v>0</v>
      </c>
      <c r="AA575" s="57">
        <f t="shared" si="229"/>
        <v>0</v>
      </c>
      <c r="AB575" s="57">
        <f t="shared" si="229"/>
        <v>0</v>
      </c>
      <c r="AC575" s="57">
        <f t="shared" si="229"/>
        <v>0</v>
      </c>
      <c r="AD575" s="57">
        <f t="shared" si="229"/>
        <v>0</v>
      </c>
    </row>
    <row r="576" spans="1:30" s="65" customFormat="1" outlineLevel="1">
      <c r="A576" s="95"/>
      <c r="B576" s="96"/>
      <c r="C576" s="94"/>
      <c r="D576" s="67"/>
      <c r="E576" s="67"/>
      <c r="F576" s="67"/>
      <c r="G576" s="67"/>
      <c r="H576" s="67"/>
      <c r="I576" s="67"/>
      <c r="J576" s="67"/>
      <c r="K576" s="67"/>
      <c r="L576" s="67"/>
      <c r="M576" s="67"/>
      <c r="N576" s="67"/>
      <c r="O576" s="67"/>
      <c r="P576" s="67"/>
      <c r="Q576" s="67"/>
      <c r="R576" s="67"/>
      <c r="S576" s="67"/>
      <c r="T576" s="67"/>
      <c r="U576" s="67"/>
      <c r="V576" s="67"/>
      <c r="W576" s="67"/>
      <c r="X576" s="67"/>
      <c r="Y576" s="67"/>
      <c r="Z576" s="67"/>
      <c r="AA576" s="67"/>
      <c r="AB576" s="67"/>
      <c r="AC576" s="67"/>
      <c r="AD576" s="67"/>
    </row>
    <row r="577" spans="1:30" ht="54" customHeight="1">
      <c r="A577" s="23" t="s">
        <v>362</v>
      </c>
      <c r="D577" s="15"/>
      <c r="E577" s="15"/>
      <c r="F577" s="15"/>
      <c r="G577" s="15"/>
      <c r="H577" s="15"/>
      <c r="I577" s="15"/>
      <c r="J577" s="15"/>
      <c r="K577" s="15"/>
      <c r="L577" s="15"/>
      <c r="M577" s="15"/>
      <c r="N577" s="15"/>
      <c r="O577" s="15"/>
      <c r="P577" s="15"/>
      <c r="Q577" s="15"/>
      <c r="R577" s="15"/>
      <c r="S577" s="15"/>
      <c r="T577" s="15"/>
      <c r="U577" s="15"/>
      <c r="V577" s="15"/>
      <c r="W577" s="15"/>
      <c r="X577" s="15"/>
      <c r="Y577" s="15"/>
      <c r="Z577" s="15"/>
      <c r="AA577" s="15"/>
      <c r="AB577" s="15"/>
      <c r="AC577" s="15"/>
      <c r="AD577" s="15"/>
    </row>
    <row r="578" spans="1:30" s="45" customFormat="1" outlineLevel="1">
      <c r="A578" s="13" t="s">
        <v>565</v>
      </c>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c r="AA578" s="44"/>
      <c r="AB578" s="44"/>
      <c r="AC578" s="44"/>
      <c r="AD578" s="44"/>
    </row>
    <row r="579" spans="1:30" s="45" customFormat="1" outlineLevel="1">
      <c r="A579" s="45" t="str">
        <f>A138</f>
        <v xml:space="preserve">waste - aggregate  </v>
      </c>
      <c r="B579" s="45" t="str">
        <f>B138</f>
        <v>millions dry tonnes</v>
      </c>
      <c r="C579" s="42">
        <f>SUM(D579:AD579)</f>
        <v>1039</v>
      </c>
      <c r="D579" s="42">
        <f t="shared" ref="D579:AD579" si="230">D138</f>
        <v>0</v>
      </c>
      <c r="E579" s="42">
        <f t="shared" si="230"/>
        <v>37</v>
      </c>
      <c r="F579" s="42">
        <f t="shared" si="230"/>
        <v>37</v>
      </c>
      <c r="G579" s="42">
        <f t="shared" si="230"/>
        <v>35</v>
      </c>
      <c r="H579" s="42">
        <f t="shared" si="230"/>
        <v>60</v>
      </c>
      <c r="I579" s="42">
        <f t="shared" si="230"/>
        <v>60</v>
      </c>
      <c r="J579" s="42">
        <f t="shared" si="230"/>
        <v>90</v>
      </c>
      <c r="K579" s="42">
        <f t="shared" si="230"/>
        <v>90</v>
      </c>
      <c r="L579" s="42">
        <f t="shared" si="230"/>
        <v>90</v>
      </c>
      <c r="M579" s="42">
        <f t="shared" si="230"/>
        <v>90</v>
      </c>
      <c r="N579" s="42">
        <f t="shared" si="230"/>
        <v>90</v>
      </c>
      <c r="O579" s="42">
        <f t="shared" si="230"/>
        <v>90</v>
      </c>
      <c r="P579" s="42">
        <f t="shared" si="230"/>
        <v>90</v>
      </c>
      <c r="Q579" s="42">
        <f t="shared" si="230"/>
        <v>65</v>
      </c>
      <c r="R579" s="42">
        <f t="shared" si="230"/>
        <v>65</v>
      </c>
      <c r="S579" s="42">
        <f t="shared" si="230"/>
        <v>50</v>
      </c>
      <c r="T579" s="42">
        <f t="shared" si="230"/>
        <v>0</v>
      </c>
      <c r="U579" s="42">
        <f t="shared" si="230"/>
        <v>0</v>
      </c>
      <c r="V579" s="42">
        <f t="shared" si="230"/>
        <v>0</v>
      </c>
      <c r="W579" s="42">
        <f t="shared" si="230"/>
        <v>0</v>
      </c>
      <c r="X579" s="42">
        <f t="shared" si="230"/>
        <v>0</v>
      </c>
      <c r="Y579" s="42">
        <f t="shared" si="230"/>
        <v>0</v>
      </c>
      <c r="Z579" s="42">
        <f t="shared" si="230"/>
        <v>0</v>
      </c>
      <c r="AA579" s="42">
        <f t="shared" si="230"/>
        <v>0</v>
      </c>
      <c r="AB579" s="42">
        <f t="shared" si="230"/>
        <v>0</v>
      </c>
      <c r="AC579" s="42">
        <f t="shared" si="230"/>
        <v>0</v>
      </c>
      <c r="AD579" s="42">
        <f t="shared" si="230"/>
        <v>0</v>
      </c>
    </row>
    <row r="580" spans="1:30" outlineLevel="1">
      <c r="A580" s="214" t="s">
        <v>363</v>
      </c>
      <c r="B580" s="214" t="s">
        <v>361</v>
      </c>
      <c r="C580" s="42"/>
      <c r="D580" s="324">
        <v>0.35</v>
      </c>
      <c r="E580" s="288">
        <f t="shared" ref="E580:AD580" si="231">D580</f>
        <v>0.35</v>
      </c>
      <c r="F580" s="288">
        <f t="shared" si="231"/>
        <v>0.35</v>
      </c>
      <c r="G580" s="288">
        <f t="shared" si="231"/>
        <v>0.35</v>
      </c>
      <c r="H580" s="288">
        <f t="shared" si="231"/>
        <v>0.35</v>
      </c>
      <c r="I580" s="288">
        <f t="shared" si="231"/>
        <v>0.35</v>
      </c>
      <c r="J580" s="288">
        <f t="shared" si="231"/>
        <v>0.35</v>
      </c>
      <c r="K580" s="288">
        <f t="shared" si="231"/>
        <v>0.35</v>
      </c>
      <c r="L580" s="288">
        <f t="shared" si="231"/>
        <v>0.35</v>
      </c>
      <c r="M580" s="288">
        <f t="shared" si="231"/>
        <v>0.35</v>
      </c>
      <c r="N580" s="288">
        <f t="shared" si="231"/>
        <v>0.35</v>
      </c>
      <c r="O580" s="288">
        <f t="shared" si="231"/>
        <v>0.35</v>
      </c>
      <c r="P580" s="288">
        <f t="shared" si="231"/>
        <v>0.35</v>
      </c>
      <c r="Q580" s="288">
        <f t="shared" si="231"/>
        <v>0.35</v>
      </c>
      <c r="R580" s="288">
        <f t="shared" si="231"/>
        <v>0.35</v>
      </c>
      <c r="S580" s="288">
        <f t="shared" si="231"/>
        <v>0.35</v>
      </c>
      <c r="T580" s="288">
        <f t="shared" si="231"/>
        <v>0.35</v>
      </c>
      <c r="U580" s="288">
        <f t="shared" si="231"/>
        <v>0.35</v>
      </c>
      <c r="V580" s="288">
        <f t="shared" si="231"/>
        <v>0.35</v>
      </c>
      <c r="W580" s="288">
        <f t="shared" si="231"/>
        <v>0.35</v>
      </c>
      <c r="X580" s="288">
        <f t="shared" si="231"/>
        <v>0.35</v>
      </c>
      <c r="Y580" s="288">
        <f t="shared" si="231"/>
        <v>0.35</v>
      </c>
      <c r="Z580" s="288">
        <f t="shared" si="231"/>
        <v>0.35</v>
      </c>
      <c r="AA580" s="288">
        <f t="shared" si="231"/>
        <v>0.35</v>
      </c>
      <c r="AB580" s="288">
        <f t="shared" si="231"/>
        <v>0.35</v>
      </c>
      <c r="AC580" s="288">
        <f t="shared" si="231"/>
        <v>0.35</v>
      </c>
      <c r="AD580" s="288">
        <f t="shared" si="231"/>
        <v>0.35</v>
      </c>
    </row>
    <row r="581" spans="1:30" s="45" customFormat="1" outlineLevel="1">
      <c r="A581" s="45" t="s">
        <v>366</v>
      </c>
      <c r="B581" s="13" t="s">
        <v>284</v>
      </c>
      <c r="C581" s="42">
        <f>SUM(D581:AD581)</f>
        <v>363.65</v>
      </c>
      <c r="D581" s="56">
        <f t="shared" ref="D581:AD581" si="232">D579*D580</f>
        <v>0</v>
      </c>
      <c r="E581" s="56">
        <f t="shared" si="232"/>
        <v>12.95</v>
      </c>
      <c r="F581" s="56">
        <f t="shared" si="232"/>
        <v>12.95</v>
      </c>
      <c r="G581" s="56">
        <f t="shared" si="232"/>
        <v>12.25</v>
      </c>
      <c r="H581" s="56">
        <f t="shared" si="232"/>
        <v>21</v>
      </c>
      <c r="I581" s="56">
        <f t="shared" si="232"/>
        <v>21</v>
      </c>
      <c r="J581" s="56">
        <f t="shared" si="232"/>
        <v>31.499999999999996</v>
      </c>
      <c r="K581" s="56">
        <f t="shared" si="232"/>
        <v>31.499999999999996</v>
      </c>
      <c r="L581" s="56">
        <f t="shared" si="232"/>
        <v>31.499999999999996</v>
      </c>
      <c r="M581" s="56">
        <f t="shared" si="232"/>
        <v>31.499999999999996</v>
      </c>
      <c r="N581" s="56">
        <f t="shared" si="232"/>
        <v>31.499999999999996</v>
      </c>
      <c r="O581" s="56">
        <f t="shared" si="232"/>
        <v>31.499999999999996</v>
      </c>
      <c r="P581" s="56">
        <f t="shared" si="232"/>
        <v>31.499999999999996</v>
      </c>
      <c r="Q581" s="56">
        <f t="shared" si="232"/>
        <v>22.75</v>
      </c>
      <c r="R581" s="56">
        <f t="shared" si="232"/>
        <v>22.75</v>
      </c>
      <c r="S581" s="56">
        <f t="shared" si="232"/>
        <v>17.5</v>
      </c>
      <c r="T581" s="56">
        <f t="shared" si="232"/>
        <v>0</v>
      </c>
      <c r="U581" s="56">
        <f t="shared" si="232"/>
        <v>0</v>
      </c>
      <c r="V581" s="56">
        <f t="shared" si="232"/>
        <v>0</v>
      </c>
      <c r="W581" s="56">
        <f t="shared" si="232"/>
        <v>0</v>
      </c>
      <c r="X581" s="56">
        <f t="shared" si="232"/>
        <v>0</v>
      </c>
      <c r="Y581" s="56">
        <f t="shared" si="232"/>
        <v>0</v>
      </c>
      <c r="Z581" s="56">
        <f t="shared" si="232"/>
        <v>0</v>
      </c>
      <c r="AA581" s="56">
        <f t="shared" si="232"/>
        <v>0</v>
      </c>
      <c r="AB581" s="56">
        <f t="shared" si="232"/>
        <v>0</v>
      </c>
      <c r="AC581" s="56">
        <f t="shared" si="232"/>
        <v>0</v>
      </c>
      <c r="AD581" s="56">
        <f t="shared" si="232"/>
        <v>0</v>
      </c>
    </row>
    <row r="582" spans="1:30" s="45" customFormat="1" outlineLevel="1">
      <c r="B582" s="13"/>
      <c r="C582" s="42"/>
      <c r="D582" s="56"/>
      <c r="E582" s="56"/>
      <c r="F582" s="56"/>
      <c r="G582" s="56"/>
      <c r="H582" s="56"/>
      <c r="I582" s="56"/>
      <c r="J582" s="56"/>
      <c r="K582" s="56"/>
      <c r="L582" s="56"/>
      <c r="M582" s="56"/>
      <c r="N582" s="56"/>
      <c r="O582" s="56"/>
      <c r="P582" s="56"/>
      <c r="Q582" s="56"/>
      <c r="R582" s="56"/>
      <c r="S582" s="56"/>
      <c r="T582" s="56"/>
      <c r="U582" s="56"/>
      <c r="V582" s="56"/>
      <c r="W582" s="56"/>
      <c r="X582" s="56"/>
      <c r="Y582" s="56"/>
      <c r="Z582" s="56"/>
      <c r="AA582" s="56"/>
      <c r="AB582" s="56"/>
      <c r="AC582" s="56"/>
      <c r="AD582" s="56"/>
    </row>
    <row r="583" spans="1:30" s="45" customFormat="1" outlineLevel="1">
      <c r="A583" s="45" t="str">
        <f>A154</f>
        <v>ore feed to processing - aggregate</v>
      </c>
      <c r="B583" s="45" t="str">
        <f>B154</f>
        <v>millions dry tonnes</v>
      </c>
      <c r="C583" s="42">
        <f>SUM(D583:AD583)</f>
        <v>103</v>
      </c>
      <c r="D583" s="42">
        <f t="shared" ref="D583:AD583" si="233">D154</f>
        <v>0</v>
      </c>
      <c r="E583" s="42">
        <f t="shared" si="233"/>
        <v>0</v>
      </c>
      <c r="F583" s="42">
        <f t="shared" si="233"/>
        <v>4.1923076923076925</v>
      </c>
      <c r="G583" s="42">
        <f t="shared" si="233"/>
        <v>7</v>
      </c>
      <c r="H583" s="42">
        <f t="shared" si="233"/>
        <v>7</v>
      </c>
      <c r="I583" s="42">
        <f t="shared" si="233"/>
        <v>7</v>
      </c>
      <c r="J583" s="42">
        <f t="shared" si="233"/>
        <v>7.3461538461538458</v>
      </c>
      <c r="K583" s="42">
        <f t="shared" si="233"/>
        <v>6.6538461538461542</v>
      </c>
      <c r="L583" s="42">
        <f t="shared" si="233"/>
        <v>7</v>
      </c>
      <c r="M583" s="42">
        <f t="shared" si="233"/>
        <v>7</v>
      </c>
      <c r="N583" s="42">
        <f t="shared" si="233"/>
        <v>7</v>
      </c>
      <c r="O583" s="42">
        <f t="shared" si="233"/>
        <v>7</v>
      </c>
      <c r="P583" s="42">
        <f t="shared" si="233"/>
        <v>7</v>
      </c>
      <c r="Q583" s="42">
        <f t="shared" si="233"/>
        <v>7</v>
      </c>
      <c r="R583" s="42">
        <f t="shared" si="233"/>
        <v>7</v>
      </c>
      <c r="S583" s="42">
        <f t="shared" si="233"/>
        <v>7</v>
      </c>
      <c r="T583" s="42">
        <f t="shared" si="233"/>
        <v>7.8076923076923075</v>
      </c>
      <c r="U583" s="42">
        <f t="shared" si="233"/>
        <v>0</v>
      </c>
      <c r="V583" s="42">
        <f t="shared" si="233"/>
        <v>0</v>
      </c>
      <c r="W583" s="42">
        <f t="shared" si="233"/>
        <v>0</v>
      </c>
      <c r="X583" s="42">
        <f t="shared" si="233"/>
        <v>0</v>
      </c>
      <c r="Y583" s="42">
        <f t="shared" si="233"/>
        <v>0</v>
      </c>
      <c r="Z583" s="42">
        <f t="shared" si="233"/>
        <v>0</v>
      </c>
      <c r="AA583" s="42">
        <f t="shared" si="233"/>
        <v>0</v>
      </c>
      <c r="AB583" s="42">
        <f t="shared" si="233"/>
        <v>0</v>
      </c>
      <c r="AC583" s="42">
        <f t="shared" si="233"/>
        <v>0</v>
      </c>
      <c r="AD583" s="42">
        <f t="shared" si="233"/>
        <v>0</v>
      </c>
    </row>
    <row r="584" spans="1:30" outlineLevel="1">
      <c r="A584" s="214" t="s">
        <v>364</v>
      </c>
      <c r="B584" s="214" t="s">
        <v>365</v>
      </c>
      <c r="C584" s="42"/>
      <c r="D584" s="324">
        <v>1.1499999999999999</v>
      </c>
      <c r="E584" s="288">
        <f t="shared" ref="E584:AD584" si="234">D584</f>
        <v>1.1499999999999999</v>
      </c>
      <c r="F584" s="288">
        <f t="shared" si="234"/>
        <v>1.1499999999999999</v>
      </c>
      <c r="G584" s="288">
        <f t="shared" si="234"/>
        <v>1.1499999999999999</v>
      </c>
      <c r="H584" s="288">
        <f t="shared" si="234"/>
        <v>1.1499999999999999</v>
      </c>
      <c r="I584" s="288">
        <f t="shared" si="234"/>
        <v>1.1499999999999999</v>
      </c>
      <c r="J584" s="288">
        <f t="shared" si="234"/>
        <v>1.1499999999999999</v>
      </c>
      <c r="K584" s="288">
        <f t="shared" si="234"/>
        <v>1.1499999999999999</v>
      </c>
      <c r="L584" s="288">
        <f t="shared" si="234"/>
        <v>1.1499999999999999</v>
      </c>
      <c r="M584" s="288">
        <f t="shared" si="234"/>
        <v>1.1499999999999999</v>
      </c>
      <c r="N584" s="288">
        <f t="shared" si="234"/>
        <v>1.1499999999999999</v>
      </c>
      <c r="O584" s="288">
        <f t="shared" si="234"/>
        <v>1.1499999999999999</v>
      </c>
      <c r="P584" s="288">
        <f t="shared" si="234"/>
        <v>1.1499999999999999</v>
      </c>
      <c r="Q584" s="288">
        <f t="shared" si="234"/>
        <v>1.1499999999999999</v>
      </c>
      <c r="R584" s="288">
        <f t="shared" si="234"/>
        <v>1.1499999999999999</v>
      </c>
      <c r="S584" s="288">
        <f t="shared" si="234"/>
        <v>1.1499999999999999</v>
      </c>
      <c r="T584" s="288">
        <f t="shared" si="234"/>
        <v>1.1499999999999999</v>
      </c>
      <c r="U584" s="288">
        <f t="shared" si="234"/>
        <v>1.1499999999999999</v>
      </c>
      <c r="V584" s="288">
        <f t="shared" si="234"/>
        <v>1.1499999999999999</v>
      </c>
      <c r="W584" s="288">
        <f t="shared" si="234"/>
        <v>1.1499999999999999</v>
      </c>
      <c r="X584" s="288">
        <f t="shared" si="234"/>
        <v>1.1499999999999999</v>
      </c>
      <c r="Y584" s="288">
        <f t="shared" si="234"/>
        <v>1.1499999999999999</v>
      </c>
      <c r="Z584" s="288">
        <f t="shared" si="234"/>
        <v>1.1499999999999999</v>
      </c>
      <c r="AA584" s="288">
        <f t="shared" si="234"/>
        <v>1.1499999999999999</v>
      </c>
      <c r="AB584" s="288">
        <f t="shared" si="234"/>
        <v>1.1499999999999999</v>
      </c>
      <c r="AC584" s="288">
        <f t="shared" si="234"/>
        <v>1.1499999999999999</v>
      </c>
      <c r="AD584" s="288">
        <f t="shared" si="234"/>
        <v>1.1499999999999999</v>
      </c>
    </row>
    <row r="585" spans="1:30" s="45" customFormat="1" outlineLevel="1">
      <c r="A585" s="45" t="s">
        <v>367</v>
      </c>
      <c r="B585" s="13" t="s">
        <v>284</v>
      </c>
      <c r="C585" s="42">
        <f>SUM(D585:AD585)</f>
        <v>118.44999999999997</v>
      </c>
      <c r="D585" s="56">
        <f t="shared" ref="D585:AD585" si="235">D583*D584</f>
        <v>0</v>
      </c>
      <c r="E585" s="56">
        <f t="shared" si="235"/>
        <v>0</v>
      </c>
      <c r="F585" s="56">
        <f t="shared" si="235"/>
        <v>4.8211538461538463</v>
      </c>
      <c r="G585" s="56">
        <f t="shared" si="235"/>
        <v>8.0499999999999989</v>
      </c>
      <c r="H585" s="56">
        <f t="shared" si="235"/>
        <v>8.0499999999999989</v>
      </c>
      <c r="I585" s="56">
        <f t="shared" si="235"/>
        <v>8.0499999999999989</v>
      </c>
      <c r="J585" s="56">
        <f t="shared" si="235"/>
        <v>8.4480769230769219</v>
      </c>
      <c r="K585" s="56">
        <f t="shared" si="235"/>
        <v>7.6519230769230768</v>
      </c>
      <c r="L585" s="56">
        <f t="shared" si="235"/>
        <v>8.0499999999999989</v>
      </c>
      <c r="M585" s="56">
        <f t="shared" si="235"/>
        <v>8.0499999999999989</v>
      </c>
      <c r="N585" s="56">
        <f t="shared" si="235"/>
        <v>8.0499999999999989</v>
      </c>
      <c r="O585" s="56">
        <f t="shared" si="235"/>
        <v>8.0499999999999989</v>
      </c>
      <c r="P585" s="56">
        <f t="shared" si="235"/>
        <v>8.0499999999999989</v>
      </c>
      <c r="Q585" s="56">
        <f t="shared" si="235"/>
        <v>8.0499999999999989</v>
      </c>
      <c r="R585" s="56">
        <f t="shared" si="235"/>
        <v>8.0499999999999989</v>
      </c>
      <c r="S585" s="56">
        <f t="shared" si="235"/>
        <v>8.0499999999999989</v>
      </c>
      <c r="T585" s="56">
        <f t="shared" si="235"/>
        <v>8.9788461538461526</v>
      </c>
      <c r="U585" s="56">
        <f t="shared" si="235"/>
        <v>0</v>
      </c>
      <c r="V585" s="56">
        <f t="shared" si="235"/>
        <v>0</v>
      </c>
      <c r="W585" s="56">
        <f t="shared" si="235"/>
        <v>0</v>
      </c>
      <c r="X585" s="56">
        <f t="shared" si="235"/>
        <v>0</v>
      </c>
      <c r="Y585" s="56">
        <f t="shared" si="235"/>
        <v>0</v>
      </c>
      <c r="Z585" s="56">
        <f t="shared" si="235"/>
        <v>0</v>
      </c>
      <c r="AA585" s="56">
        <f t="shared" si="235"/>
        <v>0</v>
      </c>
      <c r="AB585" s="56">
        <f t="shared" si="235"/>
        <v>0</v>
      </c>
      <c r="AC585" s="56">
        <f t="shared" si="235"/>
        <v>0</v>
      </c>
      <c r="AD585" s="56">
        <f t="shared" si="235"/>
        <v>0</v>
      </c>
    </row>
    <row r="586" spans="1:30" s="45" customFormat="1" outlineLevel="1">
      <c r="B586" s="13"/>
      <c r="C586" s="42"/>
      <c r="D586" s="56"/>
      <c r="E586" s="56"/>
      <c r="F586" s="56"/>
      <c r="G586" s="56"/>
      <c r="H586" s="56"/>
      <c r="I586" s="56"/>
      <c r="J586" s="56"/>
      <c r="K586" s="56"/>
      <c r="L586" s="56"/>
      <c r="M586" s="56"/>
      <c r="N586" s="56"/>
      <c r="O586" s="56"/>
      <c r="P586" s="56"/>
      <c r="Q586" s="56"/>
      <c r="R586" s="56"/>
      <c r="S586" s="56"/>
      <c r="T586" s="56"/>
      <c r="U586" s="56"/>
      <c r="V586" s="56"/>
      <c r="W586" s="56"/>
      <c r="X586" s="56"/>
      <c r="Y586" s="56"/>
      <c r="Z586" s="56"/>
      <c r="AA586" s="56"/>
      <c r="AB586" s="56"/>
      <c r="AC586" s="56"/>
      <c r="AD586" s="56"/>
    </row>
    <row r="587" spans="1:30" s="45" customFormat="1" outlineLevel="1">
      <c r="A587" s="45" t="str">
        <f>A580</f>
        <v>Ongoing rehabilitation of waste dumps</v>
      </c>
      <c r="B587" s="13" t="s">
        <v>284</v>
      </c>
      <c r="C587" s="42">
        <f>SUM(D587:AD587)</f>
        <v>482.10000000000008</v>
      </c>
      <c r="D587" s="101">
        <f t="shared" ref="D587:AD587" si="236">D581+D585</f>
        <v>0</v>
      </c>
      <c r="E587" s="101">
        <f t="shared" si="236"/>
        <v>12.95</v>
      </c>
      <c r="F587" s="101">
        <f t="shared" si="236"/>
        <v>17.771153846153844</v>
      </c>
      <c r="G587" s="101">
        <f t="shared" si="236"/>
        <v>20.299999999999997</v>
      </c>
      <c r="H587" s="101">
        <f t="shared" si="236"/>
        <v>29.049999999999997</v>
      </c>
      <c r="I587" s="101">
        <f t="shared" si="236"/>
        <v>29.049999999999997</v>
      </c>
      <c r="J587" s="101">
        <f t="shared" si="236"/>
        <v>39.948076923076918</v>
      </c>
      <c r="K587" s="101">
        <f t="shared" si="236"/>
        <v>39.151923076923076</v>
      </c>
      <c r="L587" s="101">
        <f t="shared" si="236"/>
        <v>39.549999999999997</v>
      </c>
      <c r="M587" s="101">
        <f t="shared" si="236"/>
        <v>39.549999999999997</v>
      </c>
      <c r="N587" s="101">
        <f t="shared" si="236"/>
        <v>39.549999999999997</v>
      </c>
      <c r="O587" s="101">
        <f t="shared" si="236"/>
        <v>39.549999999999997</v>
      </c>
      <c r="P587" s="101">
        <f t="shared" si="236"/>
        <v>39.549999999999997</v>
      </c>
      <c r="Q587" s="101">
        <f t="shared" si="236"/>
        <v>30.799999999999997</v>
      </c>
      <c r="R587" s="101">
        <f t="shared" si="236"/>
        <v>30.799999999999997</v>
      </c>
      <c r="S587" s="101">
        <f t="shared" si="236"/>
        <v>25.549999999999997</v>
      </c>
      <c r="T587" s="101">
        <f t="shared" si="236"/>
        <v>8.9788461538461526</v>
      </c>
      <c r="U587" s="101">
        <f t="shared" si="236"/>
        <v>0</v>
      </c>
      <c r="V587" s="101">
        <f t="shared" si="236"/>
        <v>0</v>
      </c>
      <c r="W587" s="101">
        <f t="shared" si="236"/>
        <v>0</v>
      </c>
      <c r="X587" s="101">
        <f t="shared" si="236"/>
        <v>0</v>
      </c>
      <c r="Y587" s="101">
        <f t="shared" si="236"/>
        <v>0</v>
      </c>
      <c r="Z587" s="101">
        <f t="shared" si="236"/>
        <v>0</v>
      </c>
      <c r="AA587" s="101">
        <f t="shared" si="236"/>
        <v>0</v>
      </c>
      <c r="AB587" s="101">
        <f t="shared" si="236"/>
        <v>0</v>
      </c>
      <c r="AC587" s="101">
        <f t="shared" si="236"/>
        <v>0</v>
      </c>
      <c r="AD587" s="101">
        <f t="shared" si="236"/>
        <v>0</v>
      </c>
    </row>
    <row r="588" spans="1:30" s="45" customFormat="1" outlineLevel="1">
      <c r="B588" s="13"/>
      <c r="C588" s="42"/>
      <c r="D588" s="56"/>
      <c r="E588" s="56"/>
      <c r="F588" s="56"/>
      <c r="G588" s="56"/>
      <c r="H588" s="56"/>
      <c r="I588" s="56"/>
      <c r="J588" s="56"/>
      <c r="K588" s="56"/>
      <c r="L588" s="56"/>
      <c r="M588" s="56"/>
      <c r="N588" s="56"/>
      <c r="O588" s="56"/>
      <c r="P588" s="56"/>
      <c r="Q588" s="56"/>
      <c r="R588" s="56"/>
      <c r="S588" s="56"/>
      <c r="T588" s="56"/>
      <c r="U588" s="56"/>
      <c r="V588" s="56"/>
      <c r="W588" s="56"/>
      <c r="X588" s="56"/>
      <c r="Y588" s="56"/>
      <c r="Z588" s="56"/>
      <c r="AA588" s="56"/>
      <c r="AB588" s="56"/>
      <c r="AC588" s="56"/>
      <c r="AD588" s="56"/>
    </row>
    <row r="589" spans="1:30" s="45" customFormat="1" outlineLevel="1">
      <c r="A589" s="13" t="s">
        <v>566</v>
      </c>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c r="AA589" s="44"/>
      <c r="AB589" s="44"/>
      <c r="AC589" s="44"/>
      <c r="AD589" s="44"/>
    </row>
    <row r="590" spans="1:30" outlineLevel="1">
      <c r="A590" s="214" t="s">
        <v>135</v>
      </c>
      <c r="B590" s="214" t="s">
        <v>284</v>
      </c>
      <c r="C590" s="42"/>
      <c r="D590" s="325">
        <v>400</v>
      </c>
      <c r="E590" s="219">
        <f t="shared" ref="E590:AD590" si="237">D590</f>
        <v>400</v>
      </c>
      <c r="F590" s="219">
        <f t="shared" si="237"/>
        <v>400</v>
      </c>
      <c r="G590" s="219">
        <f t="shared" si="237"/>
        <v>400</v>
      </c>
      <c r="H590" s="219">
        <f t="shared" si="237"/>
        <v>400</v>
      </c>
      <c r="I590" s="219">
        <f t="shared" si="237"/>
        <v>400</v>
      </c>
      <c r="J590" s="219">
        <f t="shared" si="237"/>
        <v>400</v>
      </c>
      <c r="K590" s="219">
        <f t="shared" si="237"/>
        <v>400</v>
      </c>
      <c r="L590" s="219">
        <f t="shared" si="237"/>
        <v>400</v>
      </c>
      <c r="M590" s="219">
        <f t="shared" si="237"/>
        <v>400</v>
      </c>
      <c r="N590" s="219">
        <f t="shared" si="237"/>
        <v>400</v>
      </c>
      <c r="O590" s="219">
        <f t="shared" si="237"/>
        <v>400</v>
      </c>
      <c r="P590" s="219">
        <f t="shared" si="237"/>
        <v>400</v>
      </c>
      <c r="Q590" s="219">
        <f t="shared" si="237"/>
        <v>400</v>
      </c>
      <c r="R590" s="219">
        <f t="shared" si="237"/>
        <v>400</v>
      </c>
      <c r="S590" s="219">
        <f t="shared" si="237"/>
        <v>400</v>
      </c>
      <c r="T590" s="219">
        <f t="shared" si="237"/>
        <v>400</v>
      </c>
      <c r="U590" s="219">
        <f t="shared" si="237"/>
        <v>400</v>
      </c>
      <c r="V590" s="219">
        <f t="shared" si="237"/>
        <v>400</v>
      </c>
      <c r="W590" s="219">
        <f t="shared" si="237"/>
        <v>400</v>
      </c>
      <c r="X590" s="219">
        <f t="shared" si="237"/>
        <v>400</v>
      </c>
      <c r="Y590" s="219">
        <f t="shared" si="237"/>
        <v>400</v>
      </c>
      <c r="Z590" s="219">
        <f t="shared" si="237"/>
        <v>400</v>
      </c>
      <c r="AA590" s="219">
        <f t="shared" si="237"/>
        <v>400</v>
      </c>
      <c r="AB590" s="219">
        <f t="shared" si="237"/>
        <v>400</v>
      </c>
      <c r="AC590" s="219">
        <f t="shared" si="237"/>
        <v>400</v>
      </c>
      <c r="AD590" s="219">
        <f t="shared" si="237"/>
        <v>400</v>
      </c>
    </row>
    <row r="591" spans="1:30" s="45" customFormat="1" outlineLevel="1">
      <c r="A591" s="45" t="s">
        <v>368</v>
      </c>
      <c r="B591" s="13" t="s">
        <v>284</v>
      </c>
      <c r="C591" s="42">
        <f>SUM(D591:AD591)</f>
        <v>400</v>
      </c>
      <c r="D591" s="101">
        <f t="shared" ref="D591:AD591" si="238">IF(AND(D154&gt;0,E154=0),D590,0)</f>
        <v>0</v>
      </c>
      <c r="E591" s="101">
        <f t="shared" si="238"/>
        <v>0</v>
      </c>
      <c r="F591" s="101">
        <f t="shared" si="238"/>
        <v>0</v>
      </c>
      <c r="G591" s="101">
        <f t="shared" si="238"/>
        <v>0</v>
      </c>
      <c r="H591" s="101">
        <f t="shared" si="238"/>
        <v>0</v>
      </c>
      <c r="I591" s="101">
        <f t="shared" si="238"/>
        <v>0</v>
      </c>
      <c r="J591" s="101">
        <f t="shared" si="238"/>
        <v>0</v>
      </c>
      <c r="K591" s="101">
        <f t="shared" si="238"/>
        <v>0</v>
      </c>
      <c r="L591" s="101">
        <f t="shared" si="238"/>
        <v>0</v>
      </c>
      <c r="M591" s="101">
        <f t="shared" si="238"/>
        <v>0</v>
      </c>
      <c r="N591" s="101">
        <f t="shared" si="238"/>
        <v>0</v>
      </c>
      <c r="O591" s="101">
        <f t="shared" si="238"/>
        <v>0</v>
      </c>
      <c r="P591" s="101">
        <f t="shared" si="238"/>
        <v>0</v>
      </c>
      <c r="Q591" s="101">
        <f t="shared" si="238"/>
        <v>0</v>
      </c>
      <c r="R591" s="101">
        <f t="shared" si="238"/>
        <v>0</v>
      </c>
      <c r="S591" s="101">
        <f t="shared" si="238"/>
        <v>0</v>
      </c>
      <c r="T591" s="101">
        <f t="shared" si="238"/>
        <v>400</v>
      </c>
      <c r="U591" s="101">
        <f t="shared" si="238"/>
        <v>0</v>
      </c>
      <c r="V591" s="101">
        <f t="shared" si="238"/>
        <v>0</v>
      </c>
      <c r="W591" s="101">
        <f t="shared" si="238"/>
        <v>0</v>
      </c>
      <c r="X591" s="101">
        <f t="shared" si="238"/>
        <v>0</v>
      </c>
      <c r="Y591" s="101">
        <f t="shared" si="238"/>
        <v>0</v>
      </c>
      <c r="Z591" s="101">
        <f t="shared" si="238"/>
        <v>0</v>
      </c>
      <c r="AA591" s="101">
        <f t="shared" si="238"/>
        <v>0</v>
      </c>
      <c r="AB591" s="101">
        <f t="shared" si="238"/>
        <v>0</v>
      </c>
      <c r="AC591" s="101">
        <f t="shared" si="238"/>
        <v>0</v>
      </c>
      <c r="AD591" s="101">
        <f t="shared" si="238"/>
        <v>0</v>
      </c>
    </row>
    <row r="592" spans="1:30" s="45" customFormat="1" ht="12" customHeight="1" outlineLevel="1">
      <c r="A592" s="59"/>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c r="AA592" s="44"/>
      <c r="AB592" s="44"/>
      <c r="AC592" s="44"/>
      <c r="AD592" s="44"/>
    </row>
    <row r="593" spans="1:30" s="286" customFormat="1" ht="28.75" customHeight="1" outlineLevel="1">
      <c r="A593" s="127" t="str">
        <f>A577</f>
        <v>Rehabilitation &amp; Environmental and Closure</v>
      </c>
      <c r="B593" s="117" t="s">
        <v>284</v>
      </c>
      <c r="C593" s="232">
        <f>SUM(D593:AD593)</f>
        <v>882.10000000000014</v>
      </c>
      <c r="D593" s="287">
        <f t="shared" ref="D593:AD593" si="239">D587+D591</f>
        <v>0</v>
      </c>
      <c r="E593" s="287">
        <f t="shared" si="239"/>
        <v>12.95</v>
      </c>
      <c r="F593" s="287">
        <f t="shared" si="239"/>
        <v>17.771153846153844</v>
      </c>
      <c r="G593" s="287">
        <f t="shared" si="239"/>
        <v>20.299999999999997</v>
      </c>
      <c r="H593" s="287">
        <f t="shared" si="239"/>
        <v>29.049999999999997</v>
      </c>
      <c r="I593" s="287">
        <f t="shared" si="239"/>
        <v>29.049999999999997</v>
      </c>
      <c r="J593" s="287">
        <f t="shared" si="239"/>
        <v>39.948076923076918</v>
      </c>
      <c r="K593" s="287">
        <f t="shared" si="239"/>
        <v>39.151923076923076</v>
      </c>
      <c r="L593" s="287">
        <f t="shared" si="239"/>
        <v>39.549999999999997</v>
      </c>
      <c r="M593" s="287">
        <f t="shared" si="239"/>
        <v>39.549999999999997</v>
      </c>
      <c r="N593" s="287">
        <f t="shared" si="239"/>
        <v>39.549999999999997</v>
      </c>
      <c r="O593" s="287">
        <f t="shared" si="239"/>
        <v>39.549999999999997</v>
      </c>
      <c r="P593" s="287">
        <f t="shared" si="239"/>
        <v>39.549999999999997</v>
      </c>
      <c r="Q593" s="287">
        <f t="shared" si="239"/>
        <v>30.799999999999997</v>
      </c>
      <c r="R593" s="287">
        <f t="shared" si="239"/>
        <v>30.799999999999997</v>
      </c>
      <c r="S593" s="287">
        <f t="shared" si="239"/>
        <v>25.549999999999997</v>
      </c>
      <c r="T593" s="287">
        <f t="shared" si="239"/>
        <v>408.97884615384618</v>
      </c>
      <c r="U593" s="287">
        <f t="shared" si="239"/>
        <v>0</v>
      </c>
      <c r="V593" s="287">
        <f t="shared" si="239"/>
        <v>0</v>
      </c>
      <c r="W593" s="287">
        <f t="shared" si="239"/>
        <v>0</v>
      </c>
      <c r="X593" s="287">
        <f t="shared" si="239"/>
        <v>0</v>
      </c>
      <c r="Y593" s="287">
        <f t="shared" si="239"/>
        <v>0</v>
      </c>
      <c r="Z593" s="287">
        <f t="shared" si="239"/>
        <v>0</v>
      </c>
      <c r="AA593" s="287">
        <f t="shared" si="239"/>
        <v>0</v>
      </c>
      <c r="AB593" s="287">
        <f t="shared" si="239"/>
        <v>0</v>
      </c>
      <c r="AC593" s="287">
        <f t="shared" si="239"/>
        <v>0</v>
      </c>
      <c r="AD593" s="287">
        <f t="shared" si="239"/>
        <v>0</v>
      </c>
    </row>
    <row r="594" spans="1:30" s="45" customFormat="1" outlineLevel="1">
      <c r="A594" s="75" t="str">
        <f>A593&amp;"/tonne milled"</f>
        <v>Rehabilitation &amp; Environmental and Closure/tonne milled</v>
      </c>
      <c r="B594" s="13" t="s">
        <v>303</v>
      </c>
      <c r="C594" s="57">
        <f>IF(C$154=0,0,C593/C$154)</f>
        <v>8.5640776699029146</v>
      </c>
      <c r="D594" s="57">
        <f t="shared" ref="D594:AD594" si="240">IF(D$154=0,0,D593/D$154)</f>
        <v>0</v>
      </c>
      <c r="E594" s="57">
        <f t="shared" si="240"/>
        <v>0</v>
      </c>
      <c r="F594" s="57">
        <f t="shared" si="240"/>
        <v>4.2389908256880728</v>
      </c>
      <c r="G594" s="57">
        <f t="shared" si="240"/>
        <v>2.8999999999999995</v>
      </c>
      <c r="H594" s="57">
        <f t="shared" si="240"/>
        <v>4.1499999999999995</v>
      </c>
      <c r="I594" s="57">
        <f t="shared" si="240"/>
        <v>4.1499999999999995</v>
      </c>
      <c r="J594" s="57">
        <f t="shared" si="240"/>
        <v>5.4379581151832461</v>
      </c>
      <c r="K594" s="57">
        <f t="shared" si="240"/>
        <v>5.8841040462427738</v>
      </c>
      <c r="L594" s="57">
        <f t="shared" si="240"/>
        <v>5.6499999999999995</v>
      </c>
      <c r="M594" s="57">
        <f t="shared" si="240"/>
        <v>5.6499999999999995</v>
      </c>
      <c r="N594" s="57">
        <f t="shared" si="240"/>
        <v>5.6499999999999995</v>
      </c>
      <c r="O594" s="57">
        <f t="shared" si="240"/>
        <v>5.6499999999999995</v>
      </c>
      <c r="P594" s="57">
        <f t="shared" si="240"/>
        <v>5.6499999999999995</v>
      </c>
      <c r="Q594" s="57">
        <f t="shared" si="240"/>
        <v>4.3999999999999995</v>
      </c>
      <c r="R594" s="57">
        <f t="shared" si="240"/>
        <v>4.3999999999999995</v>
      </c>
      <c r="S594" s="57">
        <f t="shared" si="240"/>
        <v>3.6499999999999995</v>
      </c>
      <c r="T594" s="57">
        <f t="shared" si="240"/>
        <v>52.381527093596063</v>
      </c>
      <c r="U594" s="57">
        <f t="shared" si="240"/>
        <v>0</v>
      </c>
      <c r="V594" s="57">
        <f t="shared" si="240"/>
        <v>0</v>
      </c>
      <c r="W594" s="57">
        <f t="shared" si="240"/>
        <v>0</v>
      </c>
      <c r="X594" s="57">
        <f t="shared" si="240"/>
        <v>0</v>
      </c>
      <c r="Y594" s="57">
        <f t="shared" si="240"/>
        <v>0</v>
      </c>
      <c r="Z594" s="57">
        <f t="shared" si="240"/>
        <v>0</v>
      </c>
      <c r="AA594" s="57">
        <f t="shared" si="240"/>
        <v>0</v>
      </c>
      <c r="AB594" s="57">
        <f t="shared" si="240"/>
        <v>0</v>
      </c>
      <c r="AC594" s="57">
        <f t="shared" si="240"/>
        <v>0</v>
      </c>
      <c r="AD594" s="57">
        <f t="shared" si="240"/>
        <v>0</v>
      </c>
    </row>
    <row r="595" spans="1:30" s="65" customFormat="1" ht="24" customHeight="1">
      <c r="A595" s="41"/>
      <c r="B595" s="52"/>
      <c r="C595" s="54"/>
      <c r="D595" s="67"/>
      <c r="E595" s="67"/>
      <c r="F595" s="67"/>
      <c r="G595" s="67"/>
      <c r="H595" s="67"/>
      <c r="I595" s="67"/>
      <c r="J595" s="54"/>
      <c r="K595" s="54"/>
      <c r="L595" s="54"/>
      <c r="M595" s="54"/>
      <c r="N595" s="54"/>
      <c r="O595" s="54"/>
      <c r="P595" s="54"/>
      <c r="Q595" s="54"/>
      <c r="R595" s="54"/>
      <c r="S595" s="54"/>
      <c r="T595" s="54"/>
      <c r="U595" s="54"/>
      <c r="V595" s="54"/>
      <c r="W595" s="54"/>
      <c r="X595" s="54"/>
      <c r="Y595" s="54"/>
      <c r="Z595" s="54"/>
      <c r="AA595" s="54"/>
      <c r="AB595" s="54"/>
      <c r="AC595" s="54"/>
      <c r="AD595" s="54"/>
    </row>
    <row r="596" spans="1:30" s="8" customFormat="1" ht="15.5" outlineLevel="1">
      <c r="A596" s="242" t="str">
        <f>'Expected NPV &amp; Common Data'!A$36</f>
        <v>Calendar Year --&gt;</v>
      </c>
      <c r="B596" s="243" t="str">
        <f>'Expected NPV &amp; Common Data'!B$36</f>
        <v>units</v>
      </c>
      <c r="C596" s="244" t="str">
        <f>'Expected NPV &amp; Common Data'!C$36</f>
        <v>Total</v>
      </c>
      <c r="D596" s="245">
        <f>'Expected NPV &amp; Common Data'!D$36</f>
        <v>2027</v>
      </c>
      <c r="E596" s="245">
        <f>'Expected NPV &amp; Common Data'!E$36</f>
        <v>2028</v>
      </c>
      <c r="F596" s="245">
        <f>'Expected NPV &amp; Common Data'!F$36</f>
        <v>2029</v>
      </c>
      <c r="G596" s="245">
        <f>'Expected NPV &amp; Common Data'!G$36</f>
        <v>2030</v>
      </c>
      <c r="H596" s="245">
        <f>'Expected NPV &amp; Common Data'!H$36</f>
        <v>2031</v>
      </c>
      <c r="I596" s="245">
        <f>'Expected NPV &amp; Common Data'!I$36</f>
        <v>2032</v>
      </c>
      <c r="J596" s="245">
        <f>'Expected NPV &amp; Common Data'!J$36</f>
        <v>2033</v>
      </c>
      <c r="K596" s="245">
        <f>'Expected NPV &amp; Common Data'!K$36</f>
        <v>2034</v>
      </c>
      <c r="L596" s="245">
        <f>'Expected NPV &amp; Common Data'!L$36</f>
        <v>2035</v>
      </c>
      <c r="M596" s="245">
        <f>'Expected NPV &amp; Common Data'!M$36</f>
        <v>2036</v>
      </c>
      <c r="N596" s="245">
        <f>'Expected NPV &amp; Common Data'!N$36</f>
        <v>2037</v>
      </c>
      <c r="O596" s="245">
        <f>'Expected NPV &amp; Common Data'!O$36</f>
        <v>2038</v>
      </c>
      <c r="P596" s="245">
        <f>'Expected NPV &amp; Common Data'!P$36</f>
        <v>2039</v>
      </c>
      <c r="Q596" s="245">
        <f>'Expected NPV &amp; Common Data'!Q$36</f>
        <v>2040</v>
      </c>
      <c r="R596" s="245">
        <f>'Expected NPV &amp; Common Data'!R$36</f>
        <v>2041</v>
      </c>
      <c r="S596" s="245">
        <f>'Expected NPV &amp; Common Data'!S$36</f>
        <v>2042</v>
      </c>
      <c r="T596" s="245">
        <f>'Expected NPV &amp; Common Data'!T$36</f>
        <v>2043</v>
      </c>
      <c r="U596" s="245">
        <f>'Expected NPV &amp; Common Data'!U$36</f>
        <v>2044</v>
      </c>
      <c r="V596" s="245">
        <f>'Expected NPV &amp; Common Data'!V$36</f>
        <v>2045</v>
      </c>
      <c r="W596" s="245">
        <f>'Expected NPV &amp; Common Data'!W$36</f>
        <v>2046</v>
      </c>
      <c r="X596" s="245">
        <f>'Expected NPV &amp; Common Data'!X$36</f>
        <v>2047</v>
      </c>
      <c r="Y596" s="245">
        <f>'Expected NPV &amp; Common Data'!Y$36</f>
        <v>2048</v>
      </c>
      <c r="Z596" s="245">
        <f>'Expected NPV &amp; Common Data'!Z$36</f>
        <v>2049</v>
      </c>
      <c r="AA596" s="245">
        <f>'Expected NPV &amp; Common Data'!AA$36</f>
        <v>2050</v>
      </c>
      <c r="AB596" s="245">
        <f>'Expected NPV &amp; Common Data'!AB$36</f>
        <v>2051</v>
      </c>
      <c r="AC596" s="245">
        <f>'Expected NPV &amp; Common Data'!AC$36</f>
        <v>2052</v>
      </c>
      <c r="AD596" s="245">
        <f>'Expected NPV &amp; Common Data'!AD$36</f>
        <v>2053</v>
      </c>
    </row>
    <row r="597" spans="1:30" ht="54" customHeight="1">
      <c r="A597" s="23" t="s">
        <v>374</v>
      </c>
      <c r="D597" s="15"/>
      <c r="E597" s="15"/>
      <c r="F597" s="15"/>
      <c r="G597" s="15"/>
      <c r="H597" s="15"/>
      <c r="I597" s="15"/>
      <c r="J597" s="15"/>
      <c r="K597" s="15"/>
      <c r="L597" s="15"/>
      <c r="M597" s="15"/>
      <c r="N597" s="15"/>
      <c r="O597" s="15"/>
      <c r="P597" s="15"/>
      <c r="Q597" s="15"/>
      <c r="R597" s="15"/>
      <c r="S597" s="15"/>
      <c r="T597" s="15"/>
      <c r="U597" s="15"/>
      <c r="V597" s="15"/>
      <c r="W597" s="15"/>
      <c r="X597" s="15"/>
      <c r="Y597" s="15"/>
      <c r="Z597" s="15"/>
      <c r="AA597" s="15"/>
      <c r="AB597" s="15"/>
      <c r="AC597" s="15"/>
      <c r="AD597" s="15"/>
    </row>
    <row r="598" spans="1:30" s="65" customFormat="1" outlineLevel="1">
      <c r="A598" s="282" t="s">
        <v>587</v>
      </c>
      <c r="B598" s="52"/>
      <c r="C598" s="54"/>
      <c r="D598" s="54"/>
      <c r="E598" s="54"/>
      <c r="F598" s="54"/>
      <c r="G598" s="54"/>
      <c r="H598" s="54"/>
      <c r="I598" s="54"/>
      <c r="J598" s="54"/>
      <c r="K598" s="54"/>
      <c r="L598" s="54"/>
      <c r="M598" s="54"/>
      <c r="N598" s="54"/>
      <c r="O598" s="54"/>
      <c r="P598" s="54"/>
      <c r="Q598" s="54"/>
      <c r="R598" s="54"/>
      <c r="S598" s="54"/>
      <c r="T598" s="54"/>
      <c r="U598" s="54"/>
      <c r="V598" s="54"/>
      <c r="W598" s="54"/>
      <c r="X598" s="54"/>
      <c r="Y598" s="54"/>
      <c r="Z598" s="54"/>
      <c r="AA598" s="54"/>
      <c r="AB598" s="54"/>
      <c r="AC598" s="54"/>
      <c r="AD598" s="54"/>
    </row>
    <row r="599" spans="1:30">
      <c r="A599" s="69" t="str">
        <f>A139</f>
        <v xml:space="preserve">ore - aggregate  </v>
      </c>
      <c r="B599" s="69" t="str">
        <f>B139</f>
        <v>millions dry tonnes</v>
      </c>
      <c r="C599" s="42">
        <f>SUM(D599:AD599)</f>
        <v>103</v>
      </c>
      <c r="D599" s="42">
        <f t="shared" ref="D599:AD599" si="241">D139</f>
        <v>0</v>
      </c>
      <c r="E599" s="42">
        <f t="shared" si="241"/>
        <v>0</v>
      </c>
      <c r="F599" s="42">
        <f t="shared" si="241"/>
        <v>5</v>
      </c>
      <c r="G599" s="42">
        <f t="shared" si="241"/>
        <v>7</v>
      </c>
      <c r="H599" s="42">
        <f t="shared" si="241"/>
        <v>7</v>
      </c>
      <c r="I599" s="42">
        <f t="shared" si="241"/>
        <v>7</v>
      </c>
      <c r="J599" s="42">
        <f t="shared" si="241"/>
        <v>7</v>
      </c>
      <c r="K599" s="42">
        <f t="shared" si="241"/>
        <v>7</v>
      </c>
      <c r="L599" s="42">
        <f t="shared" si="241"/>
        <v>7</v>
      </c>
      <c r="M599" s="42">
        <f t="shared" si="241"/>
        <v>7</v>
      </c>
      <c r="N599" s="42">
        <f t="shared" si="241"/>
        <v>7</v>
      </c>
      <c r="O599" s="42">
        <f t="shared" si="241"/>
        <v>7</v>
      </c>
      <c r="P599" s="42">
        <f t="shared" si="241"/>
        <v>7</v>
      </c>
      <c r="Q599" s="42">
        <f t="shared" si="241"/>
        <v>7</v>
      </c>
      <c r="R599" s="42">
        <f t="shared" si="241"/>
        <v>7</v>
      </c>
      <c r="S599" s="42">
        <f t="shared" si="241"/>
        <v>7</v>
      </c>
      <c r="T599" s="42">
        <f t="shared" si="241"/>
        <v>7</v>
      </c>
      <c r="U599" s="42">
        <f t="shared" si="241"/>
        <v>0</v>
      </c>
      <c r="V599" s="42">
        <f t="shared" si="241"/>
        <v>0</v>
      </c>
      <c r="W599" s="42">
        <f t="shared" si="241"/>
        <v>0</v>
      </c>
      <c r="X599" s="42">
        <f t="shared" si="241"/>
        <v>0</v>
      </c>
      <c r="Y599" s="42">
        <f t="shared" si="241"/>
        <v>0</v>
      </c>
      <c r="Z599" s="42">
        <f t="shared" si="241"/>
        <v>0</v>
      </c>
      <c r="AA599" s="42">
        <f t="shared" si="241"/>
        <v>0</v>
      </c>
      <c r="AB599" s="42">
        <f t="shared" si="241"/>
        <v>0</v>
      </c>
      <c r="AC599" s="42">
        <f t="shared" si="241"/>
        <v>0</v>
      </c>
      <c r="AD599" s="42">
        <f t="shared" si="241"/>
        <v>0</v>
      </c>
    </row>
    <row r="600" spans="1:30" outlineLevel="1">
      <c r="A600" s="214" t="s">
        <v>373</v>
      </c>
      <c r="B600" s="214" t="s">
        <v>293</v>
      </c>
      <c r="C600" s="42"/>
      <c r="D600" s="226">
        <v>3.8</v>
      </c>
      <c r="E600" s="226">
        <f t="shared" ref="E600:AD600" si="242">D600</f>
        <v>3.8</v>
      </c>
      <c r="F600" s="226">
        <f t="shared" si="242"/>
        <v>3.8</v>
      </c>
      <c r="G600" s="226">
        <f t="shared" si="242"/>
        <v>3.8</v>
      </c>
      <c r="H600" s="226">
        <f t="shared" si="242"/>
        <v>3.8</v>
      </c>
      <c r="I600" s="226">
        <f t="shared" si="242"/>
        <v>3.8</v>
      </c>
      <c r="J600" s="226">
        <f t="shared" si="242"/>
        <v>3.8</v>
      </c>
      <c r="K600" s="226">
        <f t="shared" si="242"/>
        <v>3.8</v>
      </c>
      <c r="L600" s="226">
        <f t="shared" si="242"/>
        <v>3.8</v>
      </c>
      <c r="M600" s="226">
        <f t="shared" si="242"/>
        <v>3.8</v>
      </c>
      <c r="N600" s="226">
        <f t="shared" si="242"/>
        <v>3.8</v>
      </c>
      <c r="O600" s="226">
        <f t="shared" si="242"/>
        <v>3.8</v>
      </c>
      <c r="P600" s="226">
        <f t="shared" si="242"/>
        <v>3.8</v>
      </c>
      <c r="Q600" s="226">
        <f t="shared" si="242"/>
        <v>3.8</v>
      </c>
      <c r="R600" s="226">
        <f t="shared" si="242"/>
        <v>3.8</v>
      </c>
      <c r="S600" s="226">
        <f t="shared" si="242"/>
        <v>3.8</v>
      </c>
      <c r="T600" s="226">
        <f t="shared" si="242"/>
        <v>3.8</v>
      </c>
      <c r="U600" s="226">
        <f t="shared" si="242"/>
        <v>3.8</v>
      </c>
      <c r="V600" s="226">
        <f t="shared" si="242"/>
        <v>3.8</v>
      </c>
      <c r="W600" s="226">
        <f t="shared" si="242"/>
        <v>3.8</v>
      </c>
      <c r="X600" s="226">
        <f t="shared" si="242"/>
        <v>3.8</v>
      </c>
      <c r="Y600" s="226">
        <f t="shared" si="242"/>
        <v>3.8</v>
      </c>
      <c r="Z600" s="226">
        <f t="shared" si="242"/>
        <v>3.8</v>
      </c>
      <c r="AA600" s="226">
        <f t="shared" si="242"/>
        <v>3.8</v>
      </c>
      <c r="AB600" s="226">
        <f t="shared" si="242"/>
        <v>3.8</v>
      </c>
      <c r="AC600" s="226">
        <f t="shared" si="242"/>
        <v>3.8</v>
      </c>
      <c r="AD600" s="226">
        <f t="shared" si="242"/>
        <v>3.8</v>
      </c>
    </row>
    <row r="601" spans="1:30" s="65" customFormat="1" outlineLevel="1">
      <c r="A601" s="282" t="s">
        <v>588</v>
      </c>
      <c r="B601" s="54"/>
      <c r="C601" s="54"/>
      <c r="D601" s="54"/>
      <c r="E601" s="54"/>
      <c r="F601" s="54"/>
      <c r="G601" s="54"/>
      <c r="H601" s="54"/>
      <c r="I601" s="54"/>
      <c r="J601" s="54"/>
      <c r="K601" s="54"/>
      <c r="L601" s="54"/>
      <c r="M601" s="54"/>
      <c r="N601" s="54"/>
      <c r="O601" s="54"/>
      <c r="P601" s="54"/>
      <c r="Q601" s="54"/>
      <c r="R601" s="54"/>
      <c r="S601" s="54"/>
      <c r="T601" s="54"/>
      <c r="U601" s="54"/>
      <c r="V601" s="54"/>
      <c r="W601" s="54"/>
      <c r="X601" s="54"/>
      <c r="Y601" s="54"/>
      <c r="Z601" s="54"/>
      <c r="AA601" s="54"/>
      <c r="AB601" s="54"/>
      <c r="AC601" s="54"/>
      <c r="AD601" s="54"/>
    </row>
    <row r="602" spans="1:30" outlineLevel="1">
      <c r="A602" s="214" t="s">
        <v>375</v>
      </c>
      <c r="B602" s="214" t="s">
        <v>293</v>
      </c>
      <c r="C602" s="42"/>
      <c r="D602" s="219">
        <v>0</v>
      </c>
      <c r="E602" s="219">
        <f t="shared" ref="E602:AD602" si="243">D602</f>
        <v>0</v>
      </c>
      <c r="F602" s="219">
        <f t="shared" si="243"/>
        <v>0</v>
      </c>
      <c r="G602" s="219">
        <f t="shared" si="243"/>
        <v>0</v>
      </c>
      <c r="H602" s="219">
        <f t="shared" si="243"/>
        <v>0</v>
      </c>
      <c r="I602" s="219">
        <f t="shared" si="243"/>
        <v>0</v>
      </c>
      <c r="J602" s="219">
        <f t="shared" si="243"/>
        <v>0</v>
      </c>
      <c r="K602" s="219">
        <f t="shared" si="243"/>
        <v>0</v>
      </c>
      <c r="L602" s="219">
        <f t="shared" si="243"/>
        <v>0</v>
      </c>
      <c r="M602" s="219">
        <f t="shared" si="243"/>
        <v>0</v>
      </c>
      <c r="N602" s="219">
        <f t="shared" si="243"/>
        <v>0</v>
      </c>
      <c r="O602" s="219">
        <f t="shared" si="243"/>
        <v>0</v>
      </c>
      <c r="P602" s="219">
        <f t="shared" si="243"/>
        <v>0</v>
      </c>
      <c r="Q602" s="219">
        <f t="shared" si="243"/>
        <v>0</v>
      </c>
      <c r="R602" s="219">
        <f t="shared" si="243"/>
        <v>0</v>
      </c>
      <c r="S602" s="219">
        <f t="shared" si="243"/>
        <v>0</v>
      </c>
      <c r="T602" s="219">
        <f t="shared" si="243"/>
        <v>0</v>
      </c>
      <c r="U602" s="219">
        <f t="shared" si="243"/>
        <v>0</v>
      </c>
      <c r="V602" s="219">
        <f t="shared" si="243"/>
        <v>0</v>
      </c>
      <c r="W602" s="219">
        <f t="shared" si="243"/>
        <v>0</v>
      </c>
      <c r="X602" s="219">
        <f t="shared" si="243"/>
        <v>0</v>
      </c>
      <c r="Y602" s="219">
        <f t="shared" si="243"/>
        <v>0</v>
      </c>
      <c r="Z602" s="219">
        <f t="shared" si="243"/>
        <v>0</v>
      </c>
      <c r="AA602" s="219">
        <f t="shared" si="243"/>
        <v>0</v>
      </c>
      <c r="AB602" s="219">
        <f t="shared" si="243"/>
        <v>0</v>
      </c>
      <c r="AC602" s="219">
        <f t="shared" si="243"/>
        <v>0</v>
      </c>
      <c r="AD602" s="219">
        <f t="shared" si="243"/>
        <v>0</v>
      </c>
    </row>
    <row r="603" spans="1:30" s="45" customFormat="1" ht="15.5" outlineLevel="1">
      <c r="A603" s="82" t="str">
        <f>A597</f>
        <v>Exploration &amp; Geotechnical</v>
      </c>
      <c r="B603" s="13" t="s">
        <v>407</v>
      </c>
      <c r="C603" s="44">
        <f>SUM(D603:AD603)</f>
        <v>56.999999999999986</v>
      </c>
      <c r="D603" s="293">
        <f t="shared" ref="D603:AD603" si="244">IF(F599=0,0,D600+D602)</f>
        <v>3.8</v>
      </c>
      <c r="E603" s="293">
        <f t="shared" si="244"/>
        <v>3.8</v>
      </c>
      <c r="F603" s="293">
        <f t="shared" si="244"/>
        <v>3.8</v>
      </c>
      <c r="G603" s="293">
        <f t="shared" si="244"/>
        <v>3.8</v>
      </c>
      <c r="H603" s="293">
        <f t="shared" si="244"/>
        <v>3.8</v>
      </c>
      <c r="I603" s="293">
        <f t="shared" si="244"/>
        <v>3.8</v>
      </c>
      <c r="J603" s="293">
        <f t="shared" si="244"/>
        <v>3.8</v>
      </c>
      <c r="K603" s="293">
        <f t="shared" si="244"/>
        <v>3.8</v>
      </c>
      <c r="L603" s="293">
        <f t="shared" si="244"/>
        <v>3.8</v>
      </c>
      <c r="M603" s="293">
        <f t="shared" si="244"/>
        <v>3.8</v>
      </c>
      <c r="N603" s="293">
        <f t="shared" si="244"/>
        <v>3.8</v>
      </c>
      <c r="O603" s="293">
        <f t="shared" si="244"/>
        <v>3.8</v>
      </c>
      <c r="P603" s="293">
        <f t="shared" si="244"/>
        <v>3.8</v>
      </c>
      <c r="Q603" s="293">
        <f t="shared" si="244"/>
        <v>3.8</v>
      </c>
      <c r="R603" s="293">
        <f t="shared" si="244"/>
        <v>3.8</v>
      </c>
      <c r="S603" s="293">
        <f t="shared" si="244"/>
        <v>0</v>
      </c>
      <c r="T603" s="293">
        <f t="shared" si="244"/>
        <v>0</v>
      </c>
      <c r="U603" s="293">
        <f t="shared" si="244"/>
        <v>0</v>
      </c>
      <c r="V603" s="293">
        <f t="shared" si="244"/>
        <v>0</v>
      </c>
      <c r="W603" s="293">
        <f t="shared" si="244"/>
        <v>0</v>
      </c>
      <c r="X603" s="293">
        <f t="shared" si="244"/>
        <v>0</v>
      </c>
      <c r="Y603" s="293">
        <f t="shared" si="244"/>
        <v>0</v>
      </c>
      <c r="Z603" s="293">
        <f t="shared" si="244"/>
        <v>0</v>
      </c>
      <c r="AA603" s="293">
        <f t="shared" si="244"/>
        <v>0</v>
      </c>
      <c r="AB603" s="293">
        <f t="shared" si="244"/>
        <v>0</v>
      </c>
      <c r="AC603" s="293">
        <f t="shared" si="244"/>
        <v>0</v>
      </c>
      <c r="AD603" s="293">
        <f t="shared" si="244"/>
        <v>0</v>
      </c>
    </row>
    <row r="604" spans="1:30" s="45" customFormat="1" outlineLevel="1">
      <c r="A604" s="59"/>
      <c r="B604" s="13"/>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c r="AA604" s="44"/>
      <c r="AB604" s="44"/>
      <c r="AC604" s="44"/>
      <c r="AD604" s="44"/>
    </row>
    <row r="605" spans="1:30" s="8" customFormat="1" ht="15.5">
      <c r="A605" s="242" t="str">
        <f>'Expected NPV &amp; Common Data'!A$36</f>
        <v>Calendar Year --&gt;</v>
      </c>
      <c r="B605" s="243" t="str">
        <f>'Expected NPV &amp; Common Data'!B$36</f>
        <v>units</v>
      </c>
      <c r="C605" s="244" t="str">
        <f>'Expected NPV &amp; Common Data'!C$36</f>
        <v>Total</v>
      </c>
      <c r="D605" s="245">
        <f>'Expected NPV &amp; Common Data'!D$36</f>
        <v>2027</v>
      </c>
      <c r="E605" s="245">
        <f>'Expected NPV &amp; Common Data'!E$36</f>
        <v>2028</v>
      </c>
      <c r="F605" s="245">
        <f>'Expected NPV &amp; Common Data'!F$36</f>
        <v>2029</v>
      </c>
      <c r="G605" s="245">
        <f>'Expected NPV &amp; Common Data'!G$36</f>
        <v>2030</v>
      </c>
      <c r="H605" s="245">
        <f>'Expected NPV &amp; Common Data'!H$36</f>
        <v>2031</v>
      </c>
      <c r="I605" s="245">
        <f>'Expected NPV &amp; Common Data'!I$36</f>
        <v>2032</v>
      </c>
      <c r="J605" s="245">
        <f>'Expected NPV &amp; Common Data'!J$36</f>
        <v>2033</v>
      </c>
      <c r="K605" s="245">
        <f>'Expected NPV &amp; Common Data'!K$36</f>
        <v>2034</v>
      </c>
      <c r="L605" s="245">
        <f>'Expected NPV &amp; Common Data'!L$36</f>
        <v>2035</v>
      </c>
      <c r="M605" s="245">
        <f>'Expected NPV &amp; Common Data'!M$36</f>
        <v>2036</v>
      </c>
      <c r="N605" s="245">
        <f>'Expected NPV &amp; Common Data'!N$36</f>
        <v>2037</v>
      </c>
      <c r="O605" s="245">
        <f>'Expected NPV &amp; Common Data'!O$36</f>
        <v>2038</v>
      </c>
      <c r="P605" s="245">
        <f>'Expected NPV &amp; Common Data'!P$36</f>
        <v>2039</v>
      </c>
      <c r="Q605" s="245">
        <f>'Expected NPV &amp; Common Data'!Q$36</f>
        <v>2040</v>
      </c>
      <c r="R605" s="245">
        <f>'Expected NPV &amp; Common Data'!R$36</f>
        <v>2041</v>
      </c>
      <c r="S605" s="245">
        <f>'Expected NPV &amp; Common Data'!S$36</f>
        <v>2042</v>
      </c>
      <c r="T605" s="245">
        <f>'Expected NPV &amp; Common Data'!T$36</f>
        <v>2043</v>
      </c>
      <c r="U605" s="245">
        <f>'Expected NPV &amp; Common Data'!U$36</f>
        <v>2044</v>
      </c>
      <c r="V605" s="245">
        <f>'Expected NPV &amp; Common Data'!V$36</f>
        <v>2045</v>
      </c>
      <c r="W605" s="245">
        <f>'Expected NPV &amp; Common Data'!W$36</f>
        <v>2046</v>
      </c>
      <c r="X605" s="245">
        <f>'Expected NPV &amp; Common Data'!X$36</f>
        <v>2047</v>
      </c>
      <c r="Y605" s="245">
        <f>'Expected NPV &amp; Common Data'!Y$36</f>
        <v>2048</v>
      </c>
      <c r="Z605" s="245">
        <f>'Expected NPV &amp; Common Data'!Z$36</f>
        <v>2049</v>
      </c>
      <c r="AA605" s="245">
        <f>'Expected NPV &amp; Common Data'!AA$36</f>
        <v>2050</v>
      </c>
      <c r="AB605" s="245">
        <f>'Expected NPV &amp; Common Data'!AB$36</f>
        <v>2051</v>
      </c>
      <c r="AC605" s="245">
        <f>'Expected NPV &amp; Common Data'!AC$36</f>
        <v>2052</v>
      </c>
      <c r="AD605" s="245">
        <f>'Expected NPV &amp; Common Data'!AD$36</f>
        <v>2053</v>
      </c>
    </row>
    <row r="606" spans="1:30" ht="64.75" customHeight="1">
      <c r="A606" s="23" t="s">
        <v>84</v>
      </c>
      <c r="D606" s="15"/>
      <c r="E606" s="15"/>
      <c r="F606" s="15"/>
      <c r="G606" s="15"/>
      <c r="H606" s="15"/>
      <c r="I606" s="15"/>
      <c r="J606" s="15"/>
      <c r="K606" s="15"/>
      <c r="L606" s="15"/>
      <c r="M606" s="15"/>
      <c r="N606" s="15"/>
      <c r="O606" s="15"/>
      <c r="P606" s="15"/>
      <c r="Q606" s="15"/>
      <c r="R606" s="15"/>
      <c r="S606" s="15"/>
      <c r="T606" s="15"/>
      <c r="U606" s="15"/>
      <c r="V606" s="15"/>
      <c r="W606" s="15"/>
      <c r="X606" s="15"/>
      <c r="Y606" s="15"/>
      <c r="Z606" s="15"/>
      <c r="AA606" s="15"/>
      <c r="AB606" s="15"/>
      <c r="AC606" s="15"/>
      <c r="AD606" s="15"/>
    </row>
    <row r="607" spans="1:30" s="65" customFormat="1" outlineLevel="1">
      <c r="A607" s="282" t="s">
        <v>589</v>
      </c>
      <c r="B607" s="52"/>
      <c r="C607" s="54"/>
      <c r="D607" s="54"/>
      <c r="E607" s="54"/>
      <c r="F607" s="54"/>
      <c r="G607" s="54"/>
      <c r="H607" s="54"/>
      <c r="I607" s="54"/>
      <c r="J607" s="54"/>
      <c r="K607" s="54"/>
      <c r="L607" s="54"/>
      <c r="M607" s="54"/>
      <c r="N607" s="54"/>
      <c r="O607" s="54"/>
      <c r="P607" s="54"/>
      <c r="Q607" s="54"/>
      <c r="R607" s="54"/>
      <c r="S607" s="54"/>
      <c r="T607" s="54"/>
      <c r="U607" s="54"/>
      <c r="V607" s="54"/>
      <c r="W607" s="54"/>
      <c r="X607" s="54"/>
      <c r="Y607" s="54"/>
      <c r="Z607" s="54"/>
      <c r="AA607" s="54"/>
      <c r="AB607" s="54"/>
      <c r="AC607" s="54"/>
      <c r="AD607" s="54"/>
    </row>
    <row r="608" spans="1:30" s="45" customFormat="1" outlineLevel="1">
      <c r="A608" s="134" t="s">
        <v>567</v>
      </c>
      <c r="B608" s="13"/>
      <c r="C608" s="53"/>
      <c r="D608" s="44"/>
      <c r="E608" s="44"/>
      <c r="F608" s="44"/>
      <c r="G608" s="44"/>
      <c r="H608" s="44"/>
      <c r="I608" s="44"/>
      <c r="J608" s="44"/>
      <c r="K608" s="44"/>
      <c r="L608" s="44"/>
      <c r="M608" s="44"/>
      <c r="N608" s="44"/>
      <c r="O608" s="44"/>
      <c r="P608" s="44"/>
      <c r="Q608" s="44"/>
      <c r="R608" s="44"/>
      <c r="S608" s="44"/>
      <c r="T608" s="44"/>
      <c r="U608" s="44"/>
      <c r="V608" s="44"/>
      <c r="W608" s="44"/>
      <c r="X608" s="44"/>
      <c r="Y608" s="44"/>
      <c r="Z608" s="44"/>
      <c r="AA608" s="44"/>
      <c r="AB608" s="44"/>
      <c r="AC608" s="44"/>
      <c r="AD608" s="44"/>
    </row>
    <row r="609" spans="1:30" s="8" customFormat="1" ht="15.5" outlineLevel="1">
      <c r="A609" s="81" t="s">
        <v>158</v>
      </c>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row>
    <row r="610" spans="1:30" outlineLevel="1">
      <c r="A610" s="214" t="s">
        <v>358</v>
      </c>
      <c r="B610" s="214" t="s">
        <v>350</v>
      </c>
      <c r="C610" s="215"/>
      <c r="D610" s="220"/>
      <c r="E610" s="220"/>
      <c r="F610" s="220"/>
      <c r="G610" s="220">
        <v>0.01</v>
      </c>
      <c r="H610" s="220">
        <f t="shared" ref="H610:AD610" si="245">G610</f>
        <v>0.01</v>
      </c>
      <c r="I610" s="220">
        <f t="shared" si="245"/>
        <v>0.01</v>
      </c>
      <c r="J610" s="220">
        <f t="shared" si="245"/>
        <v>0.01</v>
      </c>
      <c r="K610" s="220">
        <f t="shared" si="245"/>
        <v>0.01</v>
      </c>
      <c r="L610" s="220">
        <f t="shared" si="245"/>
        <v>0.01</v>
      </c>
      <c r="M610" s="220">
        <f t="shared" si="245"/>
        <v>0.01</v>
      </c>
      <c r="N610" s="220">
        <f t="shared" si="245"/>
        <v>0.01</v>
      </c>
      <c r="O610" s="220">
        <f t="shared" si="245"/>
        <v>0.01</v>
      </c>
      <c r="P610" s="220">
        <f t="shared" si="245"/>
        <v>0.01</v>
      </c>
      <c r="Q610" s="220">
        <f t="shared" si="245"/>
        <v>0.01</v>
      </c>
      <c r="R610" s="220">
        <f t="shared" si="245"/>
        <v>0.01</v>
      </c>
      <c r="S610" s="220">
        <f t="shared" si="245"/>
        <v>0.01</v>
      </c>
      <c r="T610" s="220">
        <f t="shared" si="245"/>
        <v>0.01</v>
      </c>
      <c r="U610" s="220">
        <f t="shared" si="245"/>
        <v>0.01</v>
      </c>
      <c r="V610" s="220">
        <f t="shared" si="245"/>
        <v>0.01</v>
      </c>
      <c r="W610" s="220">
        <f t="shared" si="245"/>
        <v>0.01</v>
      </c>
      <c r="X610" s="220">
        <f t="shared" si="245"/>
        <v>0.01</v>
      </c>
      <c r="Y610" s="220">
        <f t="shared" si="245"/>
        <v>0.01</v>
      </c>
      <c r="Z610" s="220">
        <f t="shared" si="245"/>
        <v>0.01</v>
      </c>
      <c r="AA610" s="220">
        <f t="shared" si="245"/>
        <v>0.01</v>
      </c>
      <c r="AB610" s="220">
        <f t="shared" si="245"/>
        <v>0.01</v>
      </c>
      <c r="AC610" s="220">
        <f t="shared" si="245"/>
        <v>0.01</v>
      </c>
      <c r="AD610" s="220">
        <f t="shared" si="245"/>
        <v>0.01</v>
      </c>
    </row>
    <row r="611" spans="1:30" s="45" customFormat="1" outlineLevel="1">
      <c r="A611" s="45" t="str">
        <f>A610</f>
        <v>real increase in transport costs</v>
      </c>
      <c r="B611" s="13" t="s">
        <v>124</v>
      </c>
      <c r="C611" s="42"/>
      <c r="D611" s="294">
        <v>1</v>
      </c>
      <c r="E611" s="57">
        <f t="shared" ref="E611:AD611" si="246">D611*(1+E610)</f>
        <v>1</v>
      </c>
      <c r="F611" s="57">
        <f t="shared" si="246"/>
        <v>1</v>
      </c>
      <c r="G611" s="57">
        <f t="shared" si="246"/>
        <v>1.01</v>
      </c>
      <c r="H611" s="57">
        <f t="shared" si="246"/>
        <v>1.0201</v>
      </c>
      <c r="I611" s="57">
        <f t="shared" si="246"/>
        <v>1.0303009999999999</v>
      </c>
      <c r="J611" s="57">
        <f t="shared" si="246"/>
        <v>1.04060401</v>
      </c>
      <c r="K611" s="57">
        <f t="shared" si="246"/>
        <v>1.0510100500999999</v>
      </c>
      <c r="L611" s="57">
        <f t="shared" si="246"/>
        <v>1.0615201506009999</v>
      </c>
      <c r="M611" s="57">
        <f t="shared" si="246"/>
        <v>1.0721353521070098</v>
      </c>
      <c r="N611" s="57">
        <f t="shared" si="246"/>
        <v>1.08285670562808</v>
      </c>
      <c r="O611" s="57">
        <f t="shared" si="246"/>
        <v>1.0936852726843609</v>
      </c>
      <c r="P611" s="57">
        <f t="shared" si="246"/>
        <v>1.1046221254112045</v>
      </c>
      <c r="Q611" s="57">
        <f t="shared" si="246"/>
        <v>1.1156683466653166</v>
      </c>
      <c r="R611" s="57">
        <f t="shared" si="246"/>
        <v>1.1268250301319698</v>
      </c>
      <c r="S611" s="57">
        <f t="shared" si="246"/>
        <v>1.1380932804332895</v>
      </c>
      <c r="T611" s="57">
        <f t="shared" si="246"/>
        <v>1.1494742132376223</v>
      </c>
      <c r="U611" s="57">
        <f t="shared" si="246"/>
        <v>1.1609689553699987</v>
      </c>
      <c r="V611" s="57">
        <f t="shared" si="246"/>
        <v>1.1725786449236986</v>
      </c>
      <c r="W611" s="57">
        <f t="shared" si="246"/>
        <v>1.1843044313729356</v>
      </c>
      <c r="X611" s="57">
        <f t="shared" si="246"/>
        <v>1.196147475686665</v>
      </c>
      <c r="Y611" s="57">
        <f t="shared" si="246"/>
        <v>1.2081089504435316</v>
      </c>
      <c r="Z611" s="57">
        <f t="shared" si="246"/>
        <v>1.220190039947967</v>
      </c>
      <c r="AA611" s="57">
        <f t="shared" si="246"/>
        <v>1.2323919403474468</v>
      </c>
      <c r="AB611" s="57">
        <f t="shared" si="246"/>
        <v>1.2447158597509214</v>
      </c>
      <c r="AC611" s="57">
        <f t="shared" si="246"/>
        <v>1.2571630183484306</v>
      </c>
      <c r="AD611" s="57">
        <f t="shared" si="246"/>
        <v>1.269734648531915</v>
      </c>
    </row>
    <row r="612" spans="1:30" s="45" customFormat="1" outlineLevel="1">
      <c r="B612" s="13"/>
      <c r="C612" s="42"/>
      <c r="D612" s="57"/>
      <c r="E612" s="57"/>
      <c r="F612" s="57"/>
      <c r="G612" s="57"/>
      <c r="H612" s="57"/>
      <c r="I612" s="57"/>
      <c r="J612" s="57"/>
      <c r="K612" s="57"/>
      <c r="L612" s="57"/>
      <c r="M612" s="57"/>
      <c r="N612" s="57"/>
      <c r="O612" s="57"/>
      <c r="P612" s="57"/>
      <c r="Q612" s="57"/>
      <c r="R612" s="57"/>
      <c r="S612" s="57"/>
      <c r="T612" s="57"/>
      <c r="U612" s="57"/>
      <c r="V612" s="57"/>
      <c r="W612" s="57"/>
      <c r="X612" s="57"/>
      <c r="Y612" s="57"/>
      <c r="Z612" s="57"/>
      <c r="AA612" s="57"/>
      <c r="AB612" s="57"/>
      <c r="AC612" s="57"/>
      <c r="AD612" s="57"/>
    </row>
    <row r="613" spans="1:30" s="100" customFormat="1" ht="23.4" customHeight="1" outlineLevel="1">
      <c r="A613" s="24" t="s">
        <v>356</v>
      </c>
      <c r="C613" s="85"/>
      <c r="D613" s="85"/>
      <c r="E613" s="85"/>
      <c r="F613" s="85"/>
      <c r="G613" s="85"/>
      <c r="H613" s="85"/>
      <c r="I613" s="85"/>
      <c r="J613" s="85"/>
      <c r="K613" s="85"/>
      <c r="L613" s="85"/>
      <c r="M613" s="85"/>
      <c r="N613" s="85"/>
      <c r="O613" s="85"/>
      <c r="P613" s="85"/>
      <c r="Q613" s="85"/>
      <c r="R613" s="85"/>
      <c r="S613" s="85"/>
      <c r="T613" s="85"/>
      <c r="U613" s="85"/>
      <c r="V613" s="85"/>
      <c r="W613" s="85"/>
      <c r="X613" s="85"/>
      <c r="Y613" s="85"/>
      <c r="Z613" s="85"/>
      <c r="AA613" s="85"/>
      <c r="AB613" s="85"/>
      <c r="AC613" s="85"/>
      <c r="AD613" s="85"/>
    </row>
    <row r="614" spans="1:30" outlineLevel="1">
      <c r="A614" s="214" t="s">
        <v>157</v>
      </c>
      <c r="B614" s="214" t="s">
        <v>351</v>
      </c>
      <c r="C614" s="42"/>
      <c r="D614" s="324">
        <v>0.22</v>
      </c>
      <c r="E614" s="288">
        <f t="shared" ref="E614:AD614" si="247">D614</f>
        <v>0.22</v>
      </c>
      <c r="F614" s="288">
        <f t="shared" si="247"/>
        <v>0.22</v>
      </c>
      <c r="G614" s="288">
        <f t="shared" si="247"/>
        <v>0.22</v>
      </c>
      <c r="H614" s="288">
        <f t="shared" si="247"/>
        <v>0.22</v>
      </c>
      <c r="I614" s="288">
        <f t="shared" si="247"/>
        <v>0.22</v>
      </c>
      <c r="J614" s="288">
        <f t="shared" si="247"/>
        <v>0.22</v>
      </c>
      <c r="K614" s="288">
        <f t="shared" si="247"/>
        <v>0.22</v>
      </c>
      <c r="L614" s="288">
        <f t="shared" si="247"/>
        <v>0.22</v>
      </c>
      <c r="M614" s="288">
        <f t="shared" si="247"/>
        <v>0.22</v>
      </c>
      <c r="N614" s="288">
        <f t="shared" si="247"/>
        <v>0.22</v>
      </c>
      <c r="O614" s="288">
        <f t="shared" si="247"/>
        <v>0.22</v>
      </c>
      <c r="P614" s="288">
        <f t="shared" si="247"/>
        <v>0.22</v>
      </c>
      <c r="Q614" s="288">
        <f t="shared" si="247"/>
        <v>0.22</v>
      </c>
      <c r="R614" s="288">
        <f t="shared" si="247"/>
        <v>0.22</v>
      </c>
      <c r="S614" s="288">
        <f t="shared" si="247"/>
        <v>0.22</v>
      </c>
      <c r="T614" s="288">
        <f t="shared" si="247"/>
        <v>0.22</v>
      </c>
      <c r="U614" s="288">
        <f t="shared" si="247"/>
        <v>0.22</v>
      </c>
      <c r="V614" s="288">
        <f t="shared" si="247"/>
        <v>0.22</v>
      </c>
      <c r="W614" s="288">
        <f t="shared" si="247"/>
        <v>0.22</v>
      </c>
      <c r="X614" s="288">
        <f t="shared" si="247"/>
        <v>0.22</v>
      </c>
      <c r="Y614" s="288">
        <f t="shared" si="247"/>
        <v>0.22</v>
      </c>
      <c r="Z614" s="288">
        <f t="shared" si="247"/>
        <v>0.22</v>
      </c>
      <c r="AA614" s="288">
        <f t="shared" si="247"/>
        <v>0.22</v>
      </c>
      <c r="AB614" s="288">
        <f t="shared" si="247"/>
        <v>0.22</v>
      </c>
      <c r="AC614" s="288">
        <f t="shared" si="247"/>
        <v>0.22</v>
      </c>
      <c r="AD614" s="288">
        <f t="shared" si="247"/>
        <v>0.22</v>
      </c>
    </row>
    <row r="615" spans="1:30" s="45" customFormat="1" outlineLevel="1">
      <c r="A615" s="45" t="str">
        <f>A611</f>
        <v>real increase in transport costs</v>
      </c>
      <c r="B615" s="45" t="str">
        <f>B611</f>
        <v>factor</v>
      </c>
      <c r="C615" s="42"/>
      <c r="D615" s="57">
        <f t="shared" ref="D615:AD615" si="248">D611</f>
        <v>1</v>
      </c>
      <c r="E615" s="57">
        <f t="shared" si="248"/>
        <v>1</v>
      </c>
      <c r="F615" s="57">
        <f t="shared" si="248"/>
        <v>1</v>
      </c>
      <c r="G615" s="57">
        <f t="shared" si="248"/>
        <v>1.01</v>
      </c>
      <c r="H615" s="57">
        <f t="shared" si="248"/>
        <v>1.0201</v>
      </c>
      <c r="I615" s="57">
        <f t="shared" si="248"/>
        <v>1.0303009999999999</v>
      </c>
      <c r="J615" s="57">
        <f t="shared" si="248"/>
        <v>1.04060401</v>
      </c>
      <c r="K615" s="57">
        <f t="shared" si="248"/>
        <v>1.0510100500999999</v>
      </c>
      <c r="L615" s="57">
        <f t="shared" si="248"/>
        <v>1.0615201506009999</v>
      </c>
      <c r="M615" s="57">
        <f t="shared" si="248"/>
        <v>1.0721353521070098</v>
      </c>
      <c r="N615" s="57">
        <f t="shared" si="248"/>
        <v>1.08285670562808</v>
      </c>
      <c r="O615" s="57">
        <f t="shared" si="248"/>
        <v>1.0936852726843609</v>
      </c>
      <c r="P615" s="57">
        <f t="shared" si="248"/>
        <v>1.1046221254112045</v>
      </c>
      <c r="Q615" s="57">
        <f t="shared" si="248"/>
        <v>1.1156683466653166</v>
      </c>
      <c r="R615" s="57">
        <f t="shared" si="248"/>
        <v>1.1268250301319698</v>
      </c>
      <c r="S615" s="57">
        <f t="shared" si="248"/>
        <v>1.1380932804332895</v>
      </c>
      <c r="T615" s="57">
        <f t="shared" si="248"/>
        <v>1.1494742132376223</v>
      </c>
      <c r="U615" s="57">
        <f t="shared" si="248"/>
        <v>1.1609689553699987</v>
      </c>
      <c r="V615" s="57">
        <f t="shared" si="248"/>
        <v>1.1725786449236986</v>
      </c>
      <c r="W615" s="57">
        <f t="shared" si="248"/>
        <v>1.1843044313729356</v>
      </c>
      <c r="X615" s="57">
        <f t="shared" si="248"/>
        <v>1.196147475686665</v>
      </c>
      <c r="Y615" s="57">
        <f t="shared" si="248"/>
        <v>1.2081089504435316</v>
      </c>
      <c r="Z615" s="57">
        <f t="shared" si="248"/>
        <v>1.220190039947967</v>
      </c>
      <c r="AA615" s="57">
        <f t="shared" si="248"/>
        <v>1.2323919403474468</v>
      </c>
      <c r="AB615" s="57">
        <f t="shared" si="248"/>
        <v>1.2447158597509214</v>
      </c>
      <c r="AC615" s="57">
        <f t="shared" si="248"/>
        <v>1.2571630183484306</v>
      </c>
      <c r="AD615" s="57">
        <f t="shared" si="248"/>
        <v>1.269734648531915</v>
      </c>
    </row>
    <row r="616" spans="1:30" outlineLevel="1">
      <c r="A616" s="214" t="s">
        <v>352</v>
      </c>
      <c r="B616" s="214" t="s">
        <v>129</v>
      </c>
      <c r="C616" s="42"/>
      <c r="D616" s="219">
        <v>184</v>
      </c>
      <c r="E616" s="219">
        <f t="shared" ref="E616:AD616" si="249">D616</f>
        <v>184</v>
      </c>
      <c r="F616" s="219">
        <f t="shared" si="249"/>
        <v>184</v>
      </c>
      <c r="G616" s="219">
        <f t="shared" si="249"/>
        <v>184</v>
      </c>
      <c r="H616" s="219">
        <f t="shared" si="249"/>
        <v>184</v>
      </c>
      <c r="I616" s="219">
        <f t="shared" si="249"/>
        <v>184</v>
      </c>
      <c r="J616" s="219">
        <f t="shared" si="249"/>
        <v>184</v>
      </c>
      <c r="K616" s="219">
        <f t="shared" si="249"/>
        <v>184</v>
      </c>
      <c r="L616" s="219">
        <f t="shared" si="249"/>
        <v>184</v>
      </c>
      <c r="M616" s="219">
        <f t="shared" si="249"/>
        <v>184</v>
      </c>
      <c r="N616" s="219">
        <f t="shared" si="249"/>
        <v>184</v>
      </c>
      <c r="O616" s="219">
        <f t="shared" si="249"/>
        <v>184</v>
      </c>
      <c r="P616" s="219">
        <f t="shared" si="249"/>
        <v>184</v>
      </c>
      <c r="Q616" s="219">
        <f t="shared" si="249"/>
        <v>184</v>
      </c>
      <c r="R616" s="219">
        <f t="shared" si="249"/>
        <v>184</v>
      </c>
      <c r="S616" s="219">
        <f t="shared" si="249"/>
        <v>184</v>
      </c>
      <c r="T616" s="219">
        <f t="shared" si="249"/>
        <v>184</v>
      </c>
      <c r="U616" s="219">
        <f t="shared" si="249"/>
        <v>184</v>
      </c>
      <c r="V616" s="219">
        <f t="shared" si="249"/>
        <v>184</v>
      </c>
      <c r="W616" s="219">
        <f t="shared" si="249"/>
        <v>184</v>
      </c>
      <c r="X616" s="219">
        <f t="shared" si="249"/>
        <v>184</v>
      </c>
      <c r="Y616" s="219">
        <f t="shared" si="249"/>
        <v>184</v>
      </c>
      <c r="Z616" s="219">
        <f t="shared" si="249"/>
        <v>184</v>
      </c>
      <c r="AA616" s="219">
        <f t="shared" si="249"/>
        <v>184</v>
      </c>
      <c r="AB616" s="219">
        <f t="shared" si="249"/>
        <v>184</v>
      </c>
      <c r="AC616" s="219">
        <f t="shared" si="249"/>
        <v>184</v>
      </c>
      <c r="AD616" s="219">
        <f t="shared" si="249"/>
        <v>184</v>
      </c>
    </row>
    <row r="617" spans="1:30" s="45" customFormat="1" outlineLevel="1">
      <c r="A617" s="45" t="s">
        <v>130</v>
      </c>
      <c r="B617" s="45" t="s">
        <v>353</v>
      </c>
      <c r="C617" s="42"/>
      <c r="D617" s="42">
        <f t="shared" ref="D617:AD617" si="250">D614*D615*D616</f>
        <v>40.479999999999997</v>
      </c>
      <c r="E617" s="42">
        <f t="shared" si="250"/>
        <v>40.479999999999997</v>
      </c>
      <c r="F617" s="42">
        <f t="shared" si="250"/>
        <v>40.479999999999997</v>
      </c>
      <c r="G617" s="42">
        <f t="shared" si="250"/>
        <v>40.884799999999998</v>
      </c>
      <c r="H617" s="42">
        <f t="shared" si="250"/>
        <v>41.293648000000005</v>
      </c>
      <c r="I617" s="42">
        <f t="shared" si="250"/>
        <v>41.706584479999997</v>
      </c>
      <c r="J617" s="42">
        <f t="shared" si="250"/>
        <v>42.123650324799996</v>
      </c>
      <c r="K617" s="42">
        <f t="shared" si="250"/>
        <v>42.544886828048</v>
      </c>
      <c r="L617" s="42">
        <f t="shared" si="250"/>
        <v>42.970335696328476</v>
      </c>
      <c r="M617" s="42">
        <f t="shared" si="250"/>
        <v>43.400039053291756</v>
      </c>
      <c r="N617" s="42">
        <f t="shared" si="250"/>
        <v>43.834039443824679</v>
      </c>
      <c r="O617" s="42">
        <f t="shared" si="250"/>
        <v>44.272379838262928</v>
      </c>
      <c r="P617" s="42">
        <f t="shared" si="250"/>
        <v>44.715103636645559</v>
      </c>
      <c r="Q617" s="42">
        <f t="shared" si="250"/>
        <v>45.162254673012015</v>
      </c>
      <c r="R617" s="42">
        <f t="shared" si="250"/>
        <v>45.613877219742136</v>
      </c>
      <c r="S617" s="42">
        <f t="shared" si="250"/>
        <v>46.070015991939563</v>
      </c>
      <c r="T617" s="42">
        <f t="shared" si="250"/>
        <v>46.530716151858954</v>
      </c>
      <c r="U617" s="42">
        <f t="shared" si="250"/>
        <v>46.996023313377542</v>
      </c>
      <c r="V617" s="42">
        <f t="shared" si="250"/>
        <v>47.465983546511325</v>
      </c>
      <c r="W617" s="42">
        <f t="shared" si="250"/>
        <v>47.940643381976429</v>
      </c>
      <c r="X617" s="42">
        <f t="shared" si="250"/>
        <v>48.420049815796197</v>
      </c>
      <c r="Y617" s="42">
        <f t="shared" si="250"/>
        <v>48.904250313954158</v>
      </c>
      <c r="Z617" s="42">
        <f t="shared" si="250"/>
        <v>49.393292817093702</v>
      </c>
      <c r="AA617" s="42">
        <f t="shared" si="250"/>
        <v>49.887225745264644</v>
      </c>
      <c r="AB617" s="42">
        <f t="shared" si="250"/>
        <v>50.386098002717304</v>
      </c>
      <c r="AC617" s="42">
        <f t="shared" si="250"/>
        <v>50.889958982744474</v>
      </c>
      <c r="AD617" s="42">
        <f t="shared" si="250"/>
        <v>51.398858572571918</v>
      </c>
    </row>
    <row r="618" spans="1:30" s="45" customFormat="1" outlineLevel="1">
      <c r="A618" s="45" t="str">
        <f>A195</f>
        <v>copper concentrate sold - wet</v>
      </c>
      <c r="B618" s="45" t="str">
        <f>B195</f>
        <v>000 tonnes WET</v>
      </c>
      <c r="C618" s="42">
        <f>SUM(D618:AD618)</f>
        <v>2606.1075268817199</v>
      </c>
      <c r="D618" s="42">
        <f t="shared" ref="D618:AD618" si="251">D195</f>
        <v>0</v>
      </c>
      <c r="E618" s="42">
        <f t="shared" si="251"/>
        <v>0</v>
      </c>
      <c r="F618" s="42">
        <f t="shared" si="251"/>
        <v>91.849335114843797</v>
      </c>
      <c r="G618" s="42">
        <f t="shared" si="251"/>
        <v>172.58738945091301</v>
      </c>
      <c r="H618" s="42">
        <f t="shared" si="251"/>
        <v>185.46236559139783</v>
      </c>
      <c r="I618" s="42">
        <f t="shared" si="251"/>
        <v>185.46236559139783</v>
      </c>
      <c r="J618" s="42">
        <f t="shared" si="251"/>
        <v>193.04625564675189</v>
      </c>
      <c r="K618" s="42">
        <f t="shared" si="251"/>
        <v>174.40987465801362</v>
      </c>
      <c r="L618" s="42">
        <f t="shared" si="251"/>
        <v>174.84990774320792</v>
      </c>
      <c r="M618" s="42">
        <f t="shared" si="251"/>
        <v>175.82795698924724</v>
      </c>
      <c r="N618" s="42">
        <f t="shared" si="251"/>
        <v>175.82795698924724</v>
      </c>
      <c r="O618" s="42">
        <f t="shared" si="251"/>
        <v>175.82795698924724</v>
      </c>
      <c r="P618" s="42">
        <f t="shared" si="251"/>
        <v>176.51740153973404</v>
      </c>
      <c r="Q618" s="42">
        <f t="shared" si="251"/>
        <v>169.99707323280526</v>
      </c>
      <c r="R618" s="42">
        <f t="shared" si="251"/>
        <v>168.6021505376344</v>
      </c>
      <c r="S618" s="42">
        <f t="shared" si="251"/>
        <v>168.6021505376344</v>
      </c>
      <c r="T618" s="42">
        <f t="shared" si="251"/>
        <v>217.23738626964433</v>
      </c>
      <c r="U618" s="42">
        <f t="shared" si="251"/>
        <v>0</v>
      </c>
      <c r="V618" s="42">
        <f t="shared" si="251"/>
        <v>0</v>
      </c>
      <c r="W618" s="42">
        <f t="shared" si="251"/>
        <v>0</v>
      </c>
      <c r="X618" s="42">
        <f t="shared" si="251"/>
        <v>0</v>
      </c>
      <c r="Y618" s="42">
        <f t="shared" si="251"/>
        <v>0</v>
      </c>
      <c r="Z618" s="42">
        <f t="shared" si="251"/>
        <v>0</v>
      </c>
      <c r="AA618" s="42">
        <f t="shared" si="251"/>
        <v>0</v>
      </c>
      <c r="AB618" s="42">
        <f t="shared" si="251"/>
        <v>0</v>
      </c>
      <c r="AC618" s="42">
        <f t="shared" si="251"/>
        <v>0</v>
      </c>
      <c r="AD618" s="42">
        <f t="shared" si="251"/>
        <v>0</v>
      </c>
    </row>
    <row r="619" spans="1:30" s="45" customFormat="1" outlineLevel="1">
      <c r="A619" s="45" t="s">
        <v>359</v>
      </c>
      <c r="B619" s="45" t="s">
        <v>284</v>
      </c>
      <c r="C619" s="42">
        <f>SUM(D619:AD619)</f>
        <v>113.49237166840643</v>
      </c>
      <c r="D619" s="56">
        <f t="shared" ref="D619:AD619" si="252">D617*D618/1000</f>
        <v>0</v>
      </c>
      <c r="E619" s="56">
        <f t="shared" si="252"/>
        <v>0</v>
      </c>
      <c r="F619" s="56">
        <f t="shared" si="252"/>
        <v>3.7180610854488765</v>
      </c>
      <c r="G619" s="56">
        <f t="shared" si="252"/>
        <v>7.056200900222688</v>
      </c>
      <c r="H619" s="56">
        <f t="shared" si="252"/>
        <v>7.6584176419784944</v>
      </c>
      <c r="I619" s="56">
        <f t="shared" si="252"/>
        <v>7.7350018183982785</v>
      </c>
      <c r="J619" s="56">
        <f t="shared" si="252"/>
        <v>8.1318129693757228</v>
      </c>
      <c r="K619" s="56">
        <f t="shared" si="252"/>
        <v>7.4202483790192266</v>
      </c>
      <c r="L619" s="56">
        <f t="shared" si="252"/>
        <v>7.5133592321977085</v>
      </c>
      <c r="M619" s="56">
        <f t="shared" si="252"/>
        <v>7.6309401999938338</v>
      </c>
      <c r="N619" s="56">
        <f t="shared" si="252"/>
        <v>7.7072496019937722</v>
      </c>
      <c r="O619" s="56">
        <f t="shared" si="252"/>
        <v>7.7843220980137113</v>
      </c>
      <c r="P619" s="56">
        <f t="shared" si="252"/>
        <v>7.8929939035205861</v>
      </c>
      <c r="Q619" s="56">
        <f t="shared" si="252"/>
        <v>7.6774511150066251</v>
      </c>
      <c r="R619" s="56">
        <f t="shared" si="252"/>
        <v>7.690597793608136</v>
      </c>
      <c r="S619" s="56">
        <f t="shared" si="252"/>
        <v>7.7675037715442183</v>
      </c>
      <c r="T619" s="56">
        <f t="shared" si="252"/>
        <v>10.108211158084561</v>
      </c>
      <c r="U619" s="56">
        <f t="shared" si="252"/>
        <v>0</v>
      </c>
      <c r="V619" s="56">
        <f t="shared" si="252"/>
        <v>0</v>
      </c>
      <c r="W619" s="56">
        <f t="shared" si="252"/>
        <v>0</v>
      </c>
      <c r="X619" s="56">
        <f t="shared" si="252"/>
        <v>0</v>
      </c>
      <c r="Y619" s="56">
        <f t="shared" si="252"/>
        <v>0</v>
      </c>
      <c r="Z619" s="56">
        <f t="shared" si="252"/>
        <v>0</v>
      </c>
      <c r="AA619" s="56">
        <f t="shared" si="252"/>
        <v>0</v>
      </c>
      <c r="AB619" s="56">
        <f t="shared" si="252"/>
        <v>0</v>
      </c>
      <c r="AC619" s="56">
        <f t="shared" si="252"/>
        <v>0</v>
      </c>
      <c r="AD619" s="56">
        <f t="shared" si="252"/>
        <v>0</v>
      </c>
    </row>
    <row r="620" spans="1:30" s="45" customFormat="1" outlineLevel="1">
      <c r="A620" s="95"/>
      <c r="B620" s="96"/>
      <c r="C620" s="94"/>
      <c r="D620" s="42"/>
      <c r="E620" s="42"/>
      <c r="F620" s="42"/>
      <c r="G620" s="42"/>
      <c r="H620" s="42"/>
      <c r="I620" s="42"/>
      <c r="J620" s="42"/>
      <c r="K620" s="42"/>
      <c r="L620" s="42"/>
      <c r="M620" s="42"/>
      <c r="N620" s="42"/>
      <c r="O620" s="42"/>
      <c r="P620" s="42"/>
      <c r="Q620" s="42"/>
      <c r="R620" s="42"/>
      <c r="S620" s="42"/>
      <c r="T620" s="42"/>
      <c r="U620" s="42"/>
      <c r="V620" s="42"/>
      <c r="W620" s="42"/>
      <c r="X620" s="42"/>
      <c r="Y620" s="42"/>
      <c r="Z620" s="42"/>
      <c r="AA620" s="42"/>
      <c r="AB620" s="42"/>
      <c r="AC620" s="42"/>
      <c r="AD620" s="42"/>
    </row>
    <row r="621" spans="1:30" outlineLevel="1">
      <c r="A621" s="214" t="s">
        <v>354</v>
      </c>
      <c r="B621" s="214" t="s">
        <v>353</v>
      </c>
      <c r="C621" s="42"/>
      <c r="D621" s="219">
        <v>14</v>
      </c>
      <c r="E621" s="219">
        <f t="shared" ref="E621:AD621" si="253">D621</f>
        <v>14</v>
      </c>
      <c r="F621" s="219">
        <f t="shared" si="253"/>
        <v>14</v>
      </c>
      <c r="G621" s="219">
        <f t="shared" si="253"/>
        <v>14</v>
      </c>
      <c r="H621" s="219">
        <f t="shared" si="253"/>
        <v>14</v>
      </c>
      <c r="I621" s="219">
        <f t="shared" si="253"/>
        <v>14</v>
      </c>
      <c r="J621" s="219">
        <f t="shared" si="253"/>
        <v>14</v>
      </c>
      <c r="K621" s="219">
        <f t="shared" si="253"/>
        <v>14</v>
      </c>
      <c r="L621" s="219">
        <f t="shared" si="253"/>
        <v>14</v>
      </c>
      <c r="M621" s="219">
        <f t="shared" si="253"/>
        <v>14</v>
      </c>
      <c r="N621" s="219">
        <f t="shared" si="253"/>
        <v>14</v>
      </c>
      <c r="O621" s="219">
        <f t="shared" si="253"/>
        <v>14</v>
      </c>
      <c r="P621" s="219">
        <f t="shared" si="253"/>
        <v>14</v>
      </c>
      <c r="Q621" s="219">
        <f t="shared" si="253"/>
        <v>14</v>
      </c>
      <c r="R621" s="219">
        <f t="shared" si="253"/>
        <v>14</v>
      </c>
      <c r="S621" s="219">
        <f t="shared" si="253"/>
        <v>14</v>
      </c>
      <c r="T621" s="219">
        <f t="shared" si="253"/>
        <v>14</v>
      </c>
      <c r="U621" s="219">
        <f t="shared" si="253"/>
        <v>14</v>
      </c>
      <c r="V621" s="219">
        <f t="shared" si="253"/>
        <v>14</v>
      </c>
      <c r="W621" s="219">
        <f t="shared" si="253"/>
        <v>14</v>
      </c>
      <c r="X621" s="219">
        <f t="shared" si="253"/>
        <v>14</v>
      </c>
      <c r="Y621" s="219">
        <f t="shared" si="253"/>
        <v>14</v>
      </c>
      <c r="Z621" s="219">
        <f t="shared" si="253"/>
        <v>14</v>
      </c>
      <c r="AA621" s="219">
        <f t="shared" si="253"/>
        <v>14</v>
      </c>
      <c r="AB621" s="219">
        <f t="shared" si="253"/>
        <v>14</v>
      </c>
      <c r="AC621" s="219">
        <f t="shared" si="253"/>
        <v>14</v>
      </c>
      <c r="AD621" s="219">
        <f t="shared" si="253"/>
        <v>14</v>
      </c>
    </row>
    <row r="622" spans="1:30" s="45" customFormat="1" outlineLevel="1">
      <c r="A622" s="45" t="s">
        <v>355</v>
      </c>
      <c r="B622" s="45" t="s">
        <v>284</v>
      </c>
      <c r="C622" s="42">
        <f>SUM(D622:AD622)</f>
        <v>36.485505376344072</v>
      </c>
      <c r="D622" s="56">
        <f t="shared" ref="D622:AD622" si="254">D618*D621/1000</f>
        <v>0</v>
      </c>
      <c r="E622" s="56">
        <f t="shared" si="254"/>
        <v>0</v>
      </c>
      <c r="F622" s="56">
        <f t="shared" si="254"/>
        <v>1.285890691607813</v>
      </c>
      <c r="G622" s="56">
        <f t="shared" si="254"/>
        <v>2.4162234523127823</v>
      </c>
      <c r="H622" s="56">
        <f t="shared" si="254"/>
        <v>2.5964731182795693</v>
      </c>
      <c r="I622" s="56">
        <f t="shared" si="254"/>
        <v>2.5964731182795693</v>
      </c>
      <c r="J622" s="56">
        <f t="shared" si="254"/>
        <v>2.7026475790545264</v>
      </c>
      <c r="K622" s="56">
        <f t="shared" si="254"/>
        <v>2.4417382452121905</v>
      </c>
      <c r="L622" s="56">
        <f t="shared" si="254"/>
        <v>2.4478987084049106</v>
      </c>
      <c r="M622" s="56">
        <f t="shared" si="254"/>
        <v>2.4615913978494612</v>
      </c>
      <c r="N622" s="56">
        <f t="shared" si="254"/>
        <v>2.4615913978494612</v>
      </c>
      <c r="O622" s="56">
        <f t="shared" si="254"/>
        <v>2.4615913978494612</v>
      </c>
      <c r="P622" s="56">
        <f t="shared" si="254"/>
        <v>2.4712436215562765</v>
      </c>
      <c r="Q622" s="56">
        <f t="shared" si="254"/>
        <v>2.3799590252592737</v>
      </c>
      <c r="R622" s="56">
        <f t="shared" si="254"/>
        <v>2.3604301075268816</v>
      </c>
      <c r="S622" s="56">
        <f t="shared" si="254"/>
        <v>2.3604301075268816</v>
      </c>
      <c r="T622" s="56">
        <f t="shared" si="254"/>
        <v>3.0413234077750206</v>
      </c>
      <c r="U622" s="56">
        <f t="shared" si="254"/>
        <v>0</v>
      </c>
      <c r="V622" s="56">
        <f t="shared" si="254"/>
        <v>0</v>
      </c>
      <c r="W622" s="56">
        <f t="shared" si="254"/>
        <v>0</v>
      </c>
      <c r="X622" s="56">
        <f t="shared" si="254"/>
        <v>0</v>
      </c>
      <c r="Y622" s="56">
        <f t="shared" si="254"/>
        <v>0</v>
      </c>
      <c r="Z622" s="56">
        <f t="shared" si="254"/>
        <v>0</v>
      </c>
      <c r="AA622" s="56">
        <f t="shared" si="254"/>
        <v>0</v>
      </c>
      <c r="AB622" s="56">
        <f t="shared" si="254"/>
        <v>0</v>
      </c>
      <c r="AC622" s="56">
        <f t="shared" si="254"/>
        <v>0</v>
      </c>
      <c r="AD622" s="56">
        <f t="shared" si="254"/>
        <v>0</v>
      </c>
    </row>
    <row r="623" spans="1:30" s="45" customFormat="1" outlineLevel="1">
      <c r="A623" s="95"/>
      <c r="B623" s="96"/>
      <c r="C623" s="295"/>
      <c r="D623" s="56"/>
      <c r="E623" s="56"/>
      <c r="F623" s="56"/>
      <c r="G623" s="56"/>
      <c r="H623" s="56"/>
      <c r="I623" s="56"/>
      <c r="J623" s="56"/>
      <c r="K623" s="56"/>
      <c r="L623" s="56"/>
      <c r="M623" s="56"/>
      <c r="N623" s="56"/>
      <c r="O623" s="56"/>
      <c r="P623" s="56"/>
      <c r="Q623" s="56"/>
      <c r="R623" s="56"/>
      <c r="S623" s="56"/>
      <c r="T623" s="56"/>
      <c r="U623" s="56"/>
      <c r="V623" s="56"/>
      <c r="W623" s="56"/>
      <c r="X623" s="56"/>
      <c r="Y623" s="56"/>
      <c r="Z623" s="56"/>
      <c r="AA623" s="56"/>
      <c r="AB623" s="56"/>
      <c r="AC623" s="56"/>
      <c r="AD623" s="56"/>
    </row>
    <row r="624" spans="1:30" s="45" customFormat="1" outlineLevel="1">
      <c r="A624" s="45" t="s">
        <v>131</v>
      </c>
      <c r="B624" s="45" t="s">
        <v>284</v>
      </c>
      <c r="C624" s="42">
        <f>SUM(D624:AD624)</f>
        <v>149.97787704475053</v>
      </c>
      <c r="D624" s="101">
        <f t="shared" ref="D624:AD624" si="255">D619+D622</f>
        <v>0</v>
      </c>
      <c r="E624" s="101">
        <f t="shared" si="255"/>
        <v>0</v>
      </c>
      <c r="F624" s="101">
        <f t="shared" si="255"/>
        <v>5.0039517770566899</v>
      </c>
      <c r="G624" s="101">
        <f t="shared" si="255"/>
        <v>9.4724243525354694</v>
      </c>
      <c r="H624" s="101">
        <f t="shared" si="255"/>
        <v>10.254890760258064</v>
      </c>
      <c r="I624" s="101">
        <f t="shared" si="255"/>
        <v>10.331474936677848</v>
      </c>
      <c r="J624" s="101">
        <f t="shared" si="255"/>
        <v>10.834460548430249</v>
      </c>
      <c r="K624" s="101">
        <f t="shared" si="255"/>
        <v>9.8619866242314167</v>
      </c>
      <c r="L624" s="101">
        <f t="shared" si="255"/>
        <v>9.9612579406026196</v>
      </c>
      <c r="M624" s="101">
        <f t="shared" si="255"/>
        <v>10.092531597843294</v>
      </c>
      <c r="N624" s="101">
        <f t="shared" si="255"/>
        <v>10.168840999843233</v>
      </c>
      <c r="O624" s="101">
        <f t="shared" si="255"/>
        <v>10.245913495863173</v>
      </c>
      <c r="P624" s="101">
        <f t="shared" si="255"/>
        <v>10.364237525076863</v>
      </c>
      <c r="Q624" s="101">
        <f t="shared" si="255"/>
        <v>10.057410140265899</v>
      </c>
      <c r="R624" s="101">
        <f t="shared" si="255"/>
        <v>10.051027901135019</v>
      </c>
      <c r="S624" s="101">
        <f t="shared" si="255"/>
        <v>10.127933879071101</v>
      </c>
      <c r="T624" s="101">
        <f t="shared" si="255"/>
        <v>13.149534565859582</v>
      </c>
      <c r="U624" s="101">
        <f t="shared" si="255"/>
        <v>0</v>
      </c>
      <c r="V624" s="101">
        <f t="shared" si="255"/>
        <v>0</v>
      </c>
      <c r="W624" s="101">
        <f t="shared" si="255"/>
        <v>0</v>
      </c>
      <c r="X624" s="101">
        <f t="shared" si="255"/>
        <v>0</v>
      </c>
      <c r="Y624" s="101">
        <f t="shared" si="255"/>
        <v>0</v>
      </c>
      <c r="Z624" s="101">
        <f t="shared" si="255"/>
        <v>0</v>
      </c>
      <c r="AA624" s="101">
        <f t="shared" si="255"/>
        <v>0</v>
      </c>
      <c r="AB624" s="101">
        <f t="shared" si="255"/>
        <v>0</v>
      </c>
      <c r="AC624" s="101">
        <f t="shared" si="255"/>
        <v>0</v>
      </c>
      <c r="AD624" s="101">
        <f t="shared" si="255"/>
        <v>0</v>
      </c>
    </row>
    <row r="625" spans="1:30" s="45" customFormat="1" outlineLevel="1">
      <c r="A625" s="95"/>
      <c r="B625" s="96"/>
      <c r="C625" s="94"/>
      <c r="E625" s="42"/>
      <c r="F625" s="42"/>
      <c r="G625" s="42"/>
      <c r="H625" s="42"/>
      <c r="I625" s="42"/>
      <c r="J625" s="42"/>
      <c r="K625" s="42"/>
      <c r="L625" s="42"/>
      <c r="M625" s="42"/>
      <c r="N625" s="42"/>
      <c r="O625" s="42"/>
      <c r="P625" s="42"/>
      <c r="Q625" s="42"/>
      <c r="R625" s="42"/>
      <c r="S625" s="42"/>
      <c r="T625" s="42"/>
      <c r="U625" s="42"/>
      <c r="V625" s="42"/>
      <c r="W625" s="42"/>
      <c r="X625" s="42"/>
      <c r="Y625" s="42"/>
      <c r="Z625" s="42"/>
      <c r="AA625" s="42"/>
      <c r="AB625" s="42"/>
      <c r="AC625" s="42"/>
      <c r="AD625" s="42"/>
    </row>
    <row r="626" spans="1:30" s="100" customFormat="1" ht="23.4" customHeight="1" outlineLevel="1">
      <c r="A626" s="24" t="s">
        <v>357</v>
      </c>
      <c r="C626" s="85"/>
      <c r="D626" s="85"/>
      <c r="E626" s="85"/>
      <c r="F626" s="85"/>
      <c r="G626" s="85"/>
      <c r="H626" s="85"/>
      <c r="I626" s="85"/>
      <c r="J626" s="85"/>
      <c r="K626" s="85"/>
      <c r="L626" s="85"/>
      <c r="M626" s="85"/>
      <c r="N626" s="85"/>
      <c r="O626" s="85"/>
      <c r="P626" s="85"/>
      <c r="Q626" s="85"/>
      <c r="R626" s="85"/>
      <c r="S626" s="85"/>
      <c r="T626" s="85"/>
      <c r="U626" s="85"/>
      <c r="V626" s="85"/>
      <c r="W626" s="85"/>
      <c r="X626" s="85"/>
      <c r="Y626" s="85"/>
      <c r="Z626" s="85"/>
      <c r="AA626" s="85"/>
      <c r="AB626" s="85"/>
      <c r="AC626" s="85"/>
      <c r="AD626" s="85"/>
    </row>
    <row r="627" spans="1:30" s="45" customFormat="1" outlineLevel="1">
      <c r="A627" s="134" t="s">
        <v>567</v>
      </c>
      <c r="B627" s="13"/>
      <c r="C627" s="53"/>
      <c r="D627" s="44"/>
      <c r="E627" s="44"/>
      <c r="F627" s="44"/>
      <c r="G627" s="44"/>
      <c r="H627" s="44"/>
      <c r="I627" s="44"/>
      <c r="J627" s="44"/>
      <c r="K627" s="44"/>
      <c r="L627" s="44"/>
      <c r="M627" s="44"/>
      <c r="N627" s="44"/>
      <c r="O627" s="44"/>
      <c r="P627" s="44"/>
      <c r="Q627" s="44"/>
      <c r="R627" s="44"/>
      <c r="S627" s="44"/>
      <c r="T627" s="44"/>
      <c r="U627" s="44"/>
      <c r="V627" s="44"/>
      <c r="W627" s="44"/>
      <c r="X627" s="44"/>
      <c r="Y627" s="44"/>
      <c r="Z627" s="44"/>
      <c r="AA627" s="44"/>
      <c r="AB627" s="44"/>
      <c r="AC627" s="44"/>
      <c r="AD627" s="44"/>
    </row>
    <row r="628" spans="1:30" outlineLevel="1">
      <c r="A628" s="214" t="s">
        <v>128</v>
      </c>
      <c r="B628" s="214" t="s">
        <v>351</v>
      </c>
      <c r="C628" s="42"/>
      <c r="D628" s="324">
        <v>0.25</v>
      </c>
      <c r="E628" s="288">
        <f t="shared" ref="E628:AD628" si="256">D628</f>
        <v>0.25</v>
      </c>
      <c r="F628" s="288">
        <f t="shared" si="256"/>
        <v>0.25</v>
      </c>
      <c r="G628" s="288">
        <f t="shared" si="256"/>
        <v>0.25</v>
      </c>
      <c r="H628" s="288">
        <f t="shared" si="256"/>
        <v>0.25</v>
      </c>
      <c r="I628" s="288">
        <f t="shared" si="256"/>
        <v>0.25</v>
      </c>
      <c r="J628" s="288">
        <f t="shared" si="256"/>
        <v>0.25</v>
      </c>
      <c r="K628" s="288">
        <f t="shared" si="256"/>
        <v>0.25</v>
      </c>
      <c r="L628" s="288">
        <f t="shared" si="256"/>
        <v>0.25</v>
      </c>
      <c r="M628" s="288">
        <f t="shared" si="256"/>
        <v>0.25</v>
      </c>
      <c r="N628" s="288">
        <f t="shared" si="256"/>
        <v>0.25</v>
      </c>
      <c r="O628" s="288">
        <f t="shared" si="256"/>
        <v>0.25</v>
      </c>
      <c r="P628" s="288">
        <f t="shared" si="256"/>
        <v>0.25</v>
      </c>
      <c r="Q628" s="288">
        <f t="shared" si="256"/>
        <v>0.25</v>
      </c>
      <c r="R628" s="288">
        <f t="shared" si="256"/>
        <v>0.25</v>
      </c>
      <c r="S628" s="288">
        <f t="shared" si="256"/>
        <v>0.25</v>
      </c>
      <c r="T628" s="288">
        <f t="shared" si="256"/>
        <v>0.25</v>
      </c>
      <c r="U628" s="288">
        <f t="shared" si="256"/>
        <v>0.25</v>
      </c>
      <c r="V628" s="288">
        <f t="shared" si="256"/>
        <v>0.25</v>
      </c>
      <c r="W628" s="288">
        <f t="shared" si="256"/>
        <v>0.25</v>
      </c>
      <c r="X628" s="288">
        <f t="shared" si="256"/>
        <v>0.25</v>
      </c>
      <c r="Y628" s="288">
        <f t="shared" si="256"/>
        <v>0.25</v>
      </c>
      <c r="Z628" s="288">
        <f t="shared" si="256"/>
        <v>0.25</v>
      </c>
      <c r="AA628" s="288">
        <f t="shared" si="256"/>
        <v>0.25</v>
      </c>
      <c r="AB628" s="288">
        <f t="shared" si="256"/>
        <v>0.25</v>
      </c>
      <c r="AC628" s="288">
        <f t="shared" si="256"/>
        <v>0.25</v>
      </c>
      <c r="AD628" s="288">
        <f t="shared" si="256"/>
        <v>0.25</v>
      </c>
    </row>
    <row r="629" spans="1:30" s="45" customFormat="1" outlineLevel="1">
      <c r="A629" s="45" t="str">
        <f>A611</f>
        <v>real increase in transport costs</v>
      </c>
      <c r="B629" s="45" t="str">
        <f>B611</f>
        <v>factor</v>
      </c>
      <c r="C629" s="42"/>
      <c r="D629" s="57">
        <f t="shared" ref="D629:AD629" si="257">D611</f>
        <v>1</v>
      </c>
      <c r="E629" s="57">
        <f t="shared" si="257"/>
        <v>1</v>
      </c>
      <c r="F629" s="57">
        <f t="shared" si="257"/>
        <v>1</v>
      </c>
      <c r="G629" s="57">
        <f t="shared" si="257"/>
        <v>1.01</v>
      </c>
      <c r="H629" s="57">
        <f t="shared" si="257"/>
        <v>1.0201</v>
      </c>
      <c r="I629" s="57">
        <f t="shared" si="257"/>
        <v>1.0303009999999999</v>
      </c>
      <c r="J629" s="57">
        <f t="shared" si="257"/>
        <v>1.04060401</v>
      </c>
      <c r="K629" s="57">
        <f t="shared" si="257"/>
        <v>1.0510100500999999</v>
      </c>
      <c r="L629" s="57">
        <f t="shared" si="257"/>
        <v>1.0615201506009999</v>
      </c>
      <c r="M629" s="57">
        <f t="shared" si="257"/>
        <v>1.0721353521070098</v>
      </c>
      <c r="N629" s="57">
        <f t="shared" si="257"/>
        <v>1.08285670562808</v>
      </c>
      <c r="O629" s="57">
        <f t="shared" si="257"/>
        <v>1.0936852726843609</v>
      </c>
      <c r="P629" s="57">
        <f t="shared" si="257"/>
        <v>1.1046221254112045</v>
      </c>
      <c r="Q629" s="57">
        <f t="shared" si="257"/>
        <v>1.1156683466653166</v>
      </c>
      <c r="R629" s="57">
        <f t="shared" si="257"/>
        <v>1.1268250301319698</v>
      </c>
      <c r="S629" s="57">
        <f t="shared" si="257"/>
        <v>1.1380932804332895</v>
      </c>
      <c r="T629" s="57">
        <f t="shared" si="257"/>
        <v>1.1494742132376223</v>
      </c>
      <c r="U629" s="57">
        <f t="shared" si="257"/>
        <v>1.1609689553699987</v>
      </c>
      <c r="V629" s="57">
        <f t="shared" si="257"/>
        <v>1.1725786449236986</v>
      </c>
      <c r="W629" s="57">
        <f t="shared" si="257"/>
        <v>1.1843044313729356</v>
      </c>
      <c r="X629" s="57">
        <f t="shared" si="257"/>
        <v>1.196147475686665</v>
      </c>
      <c r="Y629" s="57">
        <f t="shared" si="257"/>
        <v>1.2081089504435316</v>
      </c>
      <c r="Z629" s="57">
        <f t="shared" si="257"/>
        <v>1.220190039947967</v>
      </c>
      <c r="AA629" s="57">
        <f t="shared" si="257"/>
        <v>1.2323919403474468</v>
      </c>
      <c r="AB629" s="57">
        <f t="shared" si="257"/>
        <v>1.2447158597509214</v>
      </c>
      <c r="AC629" s="57">
        <f t="shared" si="257"/>
        <v>1.2571630183484306</v>
      </c>
      <c r="AD629" s="57">
        <f t="shared" si="257"/>
        <v>1.269734648531915</v>
      </c>
    </row>
    <row r="630" spans="1:30" outlineLevel="1">
      <c r="A630" s="214" t="s">
        <v>455</v>
      </c>
      <c r="B630" s="214" t="s">
        <v>129</v>
      </c>
      <c r="C630" s="42"/>
      <c r="D630" s="219">
        <v>220</v>
      </c>
      <c r="E630" s="219">
        <f>D630</f>
        <v>220</v>
      </c>
      <c r="F630" s="219">
        <f t="shared" ref="F630:AD630" si="258">E630</f>
        <v>220</v>
      </c>
      <c r="G630" s="219">
        <f t="shared" si="258"/>
        <v>220</v>
      </c>
      <c r="H630" s="219">
        <f t="shared" si="258"/>
        <v>220</v>
      </c>
      <c r="I630" s="219">
        <f t="shared" si="258"/>
        <v>220</v>
      </c>
      <c r="J630" s="219">
        <f t="shared" si="258"/>
        <v>220</v>
      </c>
      <c r="K630" s="219">
        <f t="shared" si="258"/>
        <v>220</v>
      </c>
      <c r="L630" s="219">
        <f t="shared" si="258"/>
        <v>220</v>
      </c>
      <c r="M630" s="219">
        <f t="shared" si="258"/>
        <v>220</v>
      </c>
      <c r="N630" s="219">
        <f t="shared" si="258"/>
        <v>220</v>
      </c>
      <c r="O630" s="219">
        <f t="shared" si="258"/>
        <v>220</v>
      </c>
      <c r="P630" s="219">
        <f t="shared" si="258"/>
        <v>220</v>
      </c>
      <c r="Q630" s="219">
        <f t="shared" si="258"/>
        <v>220</v>
      </c>
      <c r="R630" s="219">
        <f t="shared" si="258"/>
        <v>220</v>
      </c>
      <c r="S630" s="219">
        <f t="shared" si="258"/>
        <v>220</v>
      </c>
      <c r="T630" s="219">
        <f t="shared" si="258"/>
        <v>220</v>
      </c>
      <c r="U630" s="219">
        <f t="shared" si="258"/>
        <v>220</v>
      </c>
      <c r="V630" s="219">
        <f t="shared" si="258"/>
        <v>220</v>
      </c>
      <c r="W630" s="219">
        <f t="shared" si="258"/>
        <v>220</v>
      </c>
      <c r="X630" s="219">
        <f t="shared" si="258"/>
        <v>220</v>
      </c>
      <c r="Y630" s="219">
        <f t="shared" si="258"/>
        <v>220</v>
      </c>
      <c r="Z630" s="219">
        <f t="shared" si="258"/>
        <v>220</v>
      </c>
      <c r="AA630" s="219">
        <f t="shared" si="258"/>
        <v>220</v>
      </c>
      <c r="AB630" s="219">
        <f t="shared" si="258"/>
        <v>220</v>
      </c>
      <c r="AC630" s="219">
        <f t="shared" si="258"/>
        <v>220</v>
      </c>
      <c r="AD630" s="219">
        <f t="shared" si="258"/>
        <v>220</v>
      </c>
    </row>
    <row r="631" spans="1:30" s="45" customFormat="1" outlineLevel="1">
      <c r="A631" s="45" t="s">
        <v>132</v>
      </c>
      <c r="B631" s="45" t="s">
        <v>353</v>
      </c>
      <c r="C631" s="42"/>
      <c r="D631" s="42">
        <f t="shared" ref="D631:AD631" si="259">D628*D629*D630</f>
        <v>55</v>
      </c>
      <c r="E631" s="42">
        <f t="shared" si="259"/>
        <v>55</v>
      </c>
      <c r="F631" s="42">
        <f t="shared" si="259"/>
        <v>55</v>
      </c>
      <c r="G631" s="42">
        <f t="shared" si="259"/>
        <v>55.55</v>
      </c>
      <c r="H631" s="42">
        <f t="shared" si="259"/>
        <v>56.105499999999999</v>
      </c>
      <c r="I631" s="42">
        <f t="shared" si="259"/>
        <v>56.666554999999995</v>
      </c>
      <c r="J631" s="42">
        <f t="shared" si="259"/>
        <v>57.233220549999999</v>
      </c>
      <c r="K631" s="42">
        <f t="shared" si="259"/>
        <v>57.805552755499995</v>
      </c>
      <c r="L631" s="42">
        <f t="shared" si="259"/>
        <v>58.383608283054997</v>
      </c>
      <c r="M631" s="42">
        <f t="shared" si="259"/>
        <v>58.967444365885541</v>
      </c>
      <c r="N631" s="42">
        <f t="shared" si="259"/>
        <v>59.557118809544399</v>
      </c>
      <c r="O631" s="42">
        <f t="shared" si="259"/>
        <v>60.152689997639847</v>
      </c>
      <c r="P631" s="42">
        <f t="shared" si="259"/>
        <v>60.754216897616246</v>
      </c>
      <c r="Q631" s="42">
        <f t="shared" si="259"/>
        <v>61.361759066592413</v>
      </c>
      <c r="R631" s="42">
        <f t="shared" si="259"/>
        <v>61.975376657258337</v>
      </c>
      <c r="S631" s="42">
        <f t="shared" si="259"/>
        <v>62.595130423830923</v>
      </c>
      <c r="T631" s="42">
        <f t="shared" si="259"/>
        <v>63.22108172806923</v>
      </c>
      <c r="U631" s="42">
        <f t="shared" si="259"/>
        <v>63.85329254534993</v>
      </c>
      <c r="V631" s="42">
        <f t="shared" si="259"/>
        <v>64.49182547080342</v>
      </c>
      <c r="W631" s="42">
        <f t="shared" si="259"/>
        <v>65.136743725511465</v>
      </c>
      <c r="X631" s="42">
        <f t="shared" si="259"/>
        <v>65.788111162766569</v>
      </c>
      <c r="Y631" s="42">
        <f t="shared" si="259"/>
        <v>66.445992274394243</v>
      </c>
      <c r="Z631" s="42">
        <f t="shared" si="259"/>
        <v>67.110452197138187</v>
      </c>
      <c r="AA631" s="42">
        <f t="shared" si="259"/>
        <v>67.781556719109574</v>
      </c>
      <c r="AB631" s="42">
        <f t="shared" si="259"/>
        <v>68.459372286300678</v>
      </c>
      <c r="AC631" s="42">
        <f t="shared" si="259"/>
        <v>69.143966009163677</v>
      </c>
      <c r="AD631" s="42">
        <f t="shared" si="259"/>
        <v>69.835405669255323</v>
      </c>
    </row>
    <row r="632" spans="1:30" s="45" customFormat="1" outlineLevel="1">
      <c r="A632" s="45" t="str">
        <f>A204</f>
        <v>moly concentrate sold - wet</v>
      </c>
      <c r="B632" s="45" t="str">
        <f>B204</f>
        <v>000 tonnes WET</v>
      </c>
      <c r="C632" s="42">
        <f>SUM(D632:AD632)</f>
        <v>56.727272727272727</v>
      </c>
      <c r="D632" s="42">
        <f t="shared" ref="D632:AD632" si="260">D204</f>
        <v>0</v>
      </c>
      <c r="E632" s="42">
        <f t="shared" si="260"/>
        <v>0</v>
      </c>
      <c r="F632" s="42">
        <f t="shared" si="260"/>
        <v>3.5180204410973639</v>
      </c>
      <c r="G632" s="42">
        <f t="shared" si="260"/>
        <v>6.9295320064550827</v>
      </c>
      <c r="H632" s="42">
        <f t="shared" si="260"/>
        <v>7.6363636363636358</v>
      </c>
      <c r="I632" s="42">
        <f t="shared" si="260"/>
        <v>7.6363636363636358</v>
      </c>
      <c r="J632" s="42">
        <f t="shared" si="260"/>
        <v>7.9268423883808481</v>
      </c>
      <c r="K632" s="42">
        <f t="shared" si="260"/>
        <v>5.3028509951586882</v>
      </c>
      <c r="L632" s="42">
        <f t="shared" si="260"/>
        <v>3.5535233996772457</v>
      </c>
      <c r="M632" s="42">
        <f t="shared" si="260"/>
        <v>3.2727272727272725</v>
      </c>
      <c r="N632" s="42">
        <f t="shared" si="260"/>
        <v>3.2727272727272725</v>
      </c>
      <c r="O632" s="42">
        <f t="shared" si="260"/>
        <v>3.2727272727272725</v>
      </c>
      <c r="P632" s="42">
        <f t="shared" si="260"/>
        <v>4.4055944055944058</v>
      </c>
      <c r="Q632" s="42">
        <f t="shared" si="260"/>
        <v>0</v>
      </c>
      <c r="R632" s="42">
        <f t="shared" si="260"/>
        <v>0</v>
      </c>
      <c r="S632" s="42">
        <f t="shared" si="260"/>
        <v>0</v>
      </c>
      <c r="T632" s="42">
        <f t="shared" si="260"/>
        <v>0</v>
      </c>
      <c r="U632" s="42">
        <f t="shared" si="260"/>
        <v>0</v>
      </c>
      <c r="V632" s="42">
        <f t="shared" si="260"/>
        <v>0</v>
      </c>
      <c r="W632" s="42">
        <f t="shared" si="260"/>
        <v>0</v>
      </c>
      <c r="X632" s="42">
        <f t="shared" si="260"/>
        <v>0</v>
      </c>
      <c r="Y632" s="42">
        <f t="shared" si="260"/>
        <v>0</v>
      </c>
      <c r="Z632" s="42">
        <f t="shared" si="260"/>
        <v>0</v>
      </c>
      <c r="AA632" s="42">
        <f t="shared" si="260"/>
        <v>0</v>
      </c>
      <c r="AB632" s="42">
        <f t="shared" si="260"/>
        <v>0</v>
      </c>
      <c r="AC632" s="42">
        <f t="shared" si="260"/>
        <v>0</v>
      </c>
      <c r="AD632" s="42">
        <f t="shared" si="260"/>
        <v>0</v>
      </c>
    </row>
    <row r="633" spans="1:30" s="45" customFormat="1" outlineLevel="1">
      <c r="A633" s="45" t="s">
        <v>360</v>
      </c>
      <c r="B633" s="45" t="s">
        <v>284</v>
      </c>
      <c r="C633" s="56">
        <f>SUM(D633:AD633)</f>
        <v>3.2596958746007605</v>
      </c>
      <c r="D633" s="289">
        <f t="shared" ref="D633:AD633" si="261">D631*D632/1000</f>
        <v>0</v>
      </c>
      <c r="E633" s="289">
        <f t="shared" si="261"/>
        <v>0</v>
      </c>
      <c r="F633" s="289">
        <f t="shared" si="261"/>
        <v>0.193491124260355</v>
      </c>
      <c r="G633" s="289">
        <f t="shared" si="261"/>
        <v>0.38493550295857981</v>
      </c>
      <c r="H633" s="289">
        <f t="shared" si="261"/>
        <v>0.42844199999999993</v>
      </c>
      <c r="I633" s="289">
        <f t="shared" si="261"/>
        <v>0.43272641999999989</v>
      </c>
      <c r="J633" s="289">
        <f t="shared" si="261"/>
        <v>0.45367871867928983</v>
      </c>
      <c r="K633" s="289">
        <f t="shared" si="261"/>
        <v>0.30653423295520121</v>
      </c>
      <c r="L633" s="289">
        <f t="shared" si="261"/>
        <v>0.2074675181914262</v>
      </c>
      <c r="M633" s="289">
        <f t="shared" si="261"/>
        <v>0.19298436337926175</v>
      </c>
      <c r="N633" s="289">
        <f t="shared" si="261"/>
        <v>0.19491420701305437</v>
      </c>
      <c r="O633" s="289">
        <f t="shared" si="261"/>
        <v>0.19686334908318495</v>
      </c>
      <c r="P633" s="289">
        <f t="shared" si="261"/>
        <v>0.26765843808040729</v>
      </c>
      <c r="Q633" s="289">
        <f t="shared" si="261"/>
        <v>0</v>
      </c>
      <c r="R633" s="289">
        <f t="shared" si="261"/>
        <v>0</v>
      </c>
      <c r="S633" s="289">
        <f t="shared" si="261"/>
        <v>0</v>
      </c>
      <c r="T633" s="289">
        <f t="shared" si="261"/>
        <v>0</v>
      </c>
      <c r="U633" s="289">
        <f t="shared" si="261"/>
        <v>0</v>
      </c>
      <c r="V633" s="289">
        <f t="shared" si="261"/>
        <v>0</v>
      </c>
      <c r="W633" s="289">
        <f t="shared" si="261"/>
        <v>0</v>
      </c>
      <c r="X633" s="289">
        <f t="shared" si="261"/>
        <v>0</v>
      </c>
      <c r="Y633" s="289">
        <f t="shared" si="261"/>
        <v>0</v>
      </c>
      <c r="Z633" s="289">
        <f t="shared" si="261"/>
        <v>0</v>
      </c>
      <c r="AA633" s="289">
        <f t="shared" si="261"/>
        <v>0</v>
      </c>
      <c r="AB633" s="289">
        <f t="shared" si="261"/>
        <v>0</v>
      </c>
      <c r="AC633" s="289">
        <f t="shared" si="261"/>
        <v>0</v>
      </c>
      <c r="AD633" s="289">
        <f t="shared" si="261"/>
        <v>0</v>
      </c>
    </row>
    <row r="634" spans="1:30" s="45" customFormat="1" outlineLevel="1">
      <c r="A634" s="95"/>
      <c r="B634" s="96"/>
      <c r="C634" s="295"/>
      <c r="D634" s="42"/>
      <c r="E634" s="42"/>
      <c r="F634" s="42"/>
      <c r="G634" s="42"/>
      <c r="H634" s="42"/>
      <c r="I634" s="42"/>
      <c r="J634" s="42"/>
      <c r="K634" s="42"/>
      <c r="L634" s="42"/>
      <c r="M634" s="42"/>
      <c r="N634" s="42"/>
      <c r="O634" s="42"/>
      <c r="P634" s="42"/>
      <c r="Q634" s="42"/>
      <c r="R634" s="42"/>
      <c r="S634" s="42"/>
      <c r="T634" s="42"/>
      <c r="U634" s="42"/>
      <c r="V634" s="42"/>
      <c r="W634" s="42"/>
      <c r="X634" s="42"/>
      <c r="Y634" s="42"/>
      <c r="Z634" s="42"/>
      <c r="AA634" s="42"/>
      <c r="AB634" s="42"/>
      <c r="AC634" s="42"/>
      <c r="AD634" s="42"/>
    </row>
    <row r="635" spans="1:30" outlineLevel="1">
      <c r="A635" s="214" t="s">
        <v>456</v>
      </c>
      <c r="B635" s="214" t="s">
        <v>353</v>
      </c>
      <c r="C635" s="42"/>
      <c r="D635" s="219">
        <v>2</v>
      </c>
      <c r="E635" s="219">
        <f>D635</f>
        <v>2</v>
      </c>
      <c r="F635" s="219">
        <f t="shared" ref="F635:AD635" si="262">E635</f>
        <v>2</v>
      </c>
      <c r="G635" s="219">
        <f t="shared" si="262"/>
        <v>2</v>
      </c>
      <c r="H635" s="219">
        <f t="shared" si="262"/>
        <v>2</v>
      </c>
      <c r="I635" s="219">
        <f t="shared" si="262"/>
        <v>2</v>
      </c>
      <c r="J635" s="219">
        <f t="shared" si="262"/>
        <v>2</v>
      </c>
      <c r="K635" s="219">
        <f t="shared" si="262"/>
        <v>2</v>
      </c>
      <c r="L635" s="219">
        <f t="shared" si="262"/>
        <v>2</v>
      </c>
      <c r="M635" s="219">
        <f t="shared" si="262"/>
        <v>2</v>
      </c>
      <c r="N635" s="219">
        <f t="shared" si="262"/>
        <v>2</v>
      </c>
      <c r="O635" s="219">
        <f t="shared" si="262"/>
        <v>2</v>
      </c>
      <c r="P635" s="219">
        <f t="shared" si="262"/>
        <v>2</v>
      </c>
      <c r="Q635" s="219">
        <f t="shared" si="262"/>
        <v>2</v>
      </c>
      <c r="R635" s="219">
        <f t="shared" si="262"/>
        <v>2</v>
      </c>
      <c r="S635" s="219">
        <f t="shared" si="262"/>
        <v>2</v>
      </c>
      <c r="T635" s="219">
        <f t="shared" si="262"/>
        <v>2</v>
      </c>
      <c r="U635" s="219">
        <f t="shared" si="262"/>
        <v>2</v>
      </c>
      <c r="V635" s="219">
        <f t="shared" si="262"/>
        <v>2</v>
      </c>
      <c r="W635" s="219">
        <f t="shared" si="262"/>
        <v>2</v>
      </c>
      <c r="X635" s="219">
        <f t="shared" si="262"/>
        <v>2</v>
      </c>
      <c r="Y635" s="219">
        <f t="shared" si="262"/>
        <v>2</v>
      </c>
      <c r="Z635" s="219">
        <f t="shared" si="262"/>
        <v>2</v>
      </c>
      <c r="AA635" s="219">
        <f t="shared" si="262"/>
        <v>2</v>
      </c>
      <c r="AB635" s="219">
        <f t="shared" si="262"/>
        <v>2</v>
      </c>
      <c r="AC635" s="219">
        <f t="shared" si="262"/>
        <v>2</v>
      </c>
      <c r="AD635" s="219">
        <f t="shared" si="262"/>
        <v>2</v>
      </c>
    </row>
    <row r="636" spans="1:30" s="45" customFormat="1" outlineLevel="1">
      <c r="A636" s="45" t="s">
        <v>457</v>
      </c>
      <c r="B636" s="45" t="s">
        <v>284</v>
      </c>
      <c r="C636" s="42">
        <f>SUM(D636:AD636)</f>
        <v>0.11345454545454546</v>
      </c>
      <c r="D636" s="56">
        <f t="shared" ref="D636:AD636" si="263">D632*D635/1000</f>
        <v>0</v>
      </c>
      <c r="E636" s="56">
        <f t="shared" si="263"/>
        <v>0</v>
      </c>
      <c r="F636" s="56">
        <f t="shared" si="263"/>
        <v>7.0360408821947282E-3</v>
      </c>
      <c r="G636" s="56">
        <f t="shared" si="263"/>
        <v>1.3859064012910165E-2</v>
      </c>
      <c r="H636" s="56">
        <f t="shared" si="263"/>
        <v>1.5272727272727271E-2</v>
      </c>
      <c r="I636" s="56">
        <f t="shared" si="263"/>
        <v>1.5272727272727271E-2</v>
      </c>
      <c r="J636" s="56">
        <f t="shared" si="263"/>
        <v>1.5853684776761696E-2</v>
      </c>
      <c r="K636" s="56">
        <f t="shared" si="263"/>
        <v>1.0605701990317377E-2</v>
      </c>
      <c r="L636" s="56">
        <f t="shared" si="263"/>
        <v>7.1070467993544911E-3</v>
      </c>
      <c r="M636" s="56">
        <f t="shared" si="263"/>
        <v>6.5454545454545453E-3</v>
      </c>
      <c r="N636" s="56">
        <f t="shared" si="263"/>
        <v>6.5454545454545453E-3</v>
      </c>
      <c r="O636" s="56">
        <f t="shared" si="263"/>
        <v>6.5454545454545453E-3</v>
      </c>
      <c r="P636" s="56">
        <f t="shared" si="263"/>
        <v>8.8111888111888116E-3</v>
      </c>
      <c r="Q636" s="56">
        <f t="shared" si="263"/>
        <v>0</v>
      </c>
      <c r="R636" s="56">
        <f t="shared" si="263"/>
        <v>0</v>
      </c>
      <c r="S636" s="56">
        <f t="shared" si="263"/>
        <v>0</v>
      </c>
      <c r="T636" s="56">
        <f t="shared" si="263"/>
        <v>0</v>
      </c>
      <c r="U636" s="56">
        <f t="shared" si="263"/>
        <v>0</v>
      </c>
      <c r="V636" s="56">
        <f t="shared" si="263"/>
        <v>0</v>
      </c>
      <c r="W636" s="56">
        <f t="shared" si="263"/>
        <v>0</v>
      </c>
      <c r="X636" s="56">
        <f t="shared" si="263"/>
        <v>0</v>
      </c>
      <c r="Y636" s="56">
        <f t="shared" si="263"/>
        <v>0</v>
      </c>
      <c r="Z636" s="56">
        <f t="shared" si="263"/>
        <v>0</v>
      </c>
      <c r="AA636" s="56">
        <f t="shared" si="263"/>
        <v>0</v>
      </c>
      <c r="AB636" s="56">
        <f t="shared" si="263"/>
        <v>0</v>
      </c>
      <c r="AC636" s="56">
        <f t="shared" si="263"/>
        <v>0</v>
      </c>
      <c r="AD636" s="56">
        <f t="shared" si="263"/>
        <v>0</v>
      </c>
    </row>
    <row r="637" spans="1:30" s="45" customFormat="1" outlineLevel="1">
      <c r="A637" s="95"/>
      <c r="B637" s="96"/>
      <c r="C637" s="94"/>
      <c r="D637" s="56"/>
      <c r="E637" s="56"/>
      <c r="F637" s="56"/>
      <c r="G637" s="56"/>
      <c r="H637" s="56"/>
      <c r="I637" s="56"/>
      <c r="J637" s="56"/>
      <c r="K637" s="56"/>
      <c r="L637" s="56"/>
      <c r="M637" s="56"/>
      <c r="N637" s="56"/>
      <c r="O637" s="56"/>
      <c r="P637" s="56"/>
      <c r="Q637" s="56"/>
      <c r="R637" s="56"/>
      <c r="S637" s="56"/>
      <c r="T637" s="56"/>
      <c r="U637" s="56"/>
      <c r="V637" s="56"/>
      <c r="W637" s="56"/>
      <c r="X637" s="56"/>
      <c r="Y637" s="56"/>
      <c r="Z637" s="56"/>
      <c r="AA637" s="56"/>
      <c r="AB637" s="56"/>
      <c r="AC637" s="56"/>
      <c r="AD637" s="56"/>
    </row>
    <row r="638" spans="1:30" s="45" customFormat="1" outlineLevel="1">
      <c r="A638" s="45" t="s">
        <v>133</v>
      </c>
      <c r="B638" s="45" t="s">
        <v>284</v>
      </c>
      <c r="C638" s="42">
        <f>SUM(D638:AD638)</f>
        <v>3.373150420055306</v>
      </c>
      <c r="D638" s="101">
        <f t="shared" ref="D638:AD638" si="264">D633+D636</f>
        <v>0</v>
      </c>
      <c r="E638" s="101">
        <f t="shared" si="264"/>
        <v>0</v>
      </c>
      <c r="F638" s="101">
        <f t="shared" si="264"/>
        <v>0.20052716514254973</v>
      </c>
      <c r="G638" s="101">
        <f t="shared" si="264"/>
        <v>0.39879456697148996</v>
      </c>
      <c r="H638" s="101">
        <f t="shared" si="264"/>
        <v>0.44371472727272721</v>
      </c>
      <c r="I638" s="101">
        <f t="shared" si="264"/>
        <v>0.44799914727272716</v>
      </c>
      <c r="J638" s="101">
        <f t="shared" si="264"/>
        <v>0.46953240345605152</v>
      </c>
      <c r="K638" s="101">
        <f t="shared" si="264"/>
        <v>0.31713993494551856</v>
      </c>
      <c r="L638" s="101">
        <f t="shared" si="264"/>
        <v>0.2145745649907807</v>
      </c>
      <c r="M638" s="101">
        <f t="shared" si="264"/>
        <v>0.1995298179247163</v>
      </c>
      <c r="N638" s="101">
        <f t="shared" si="264"/>
        <v>0.20145966155850892</v>
      </c>
      <c r="O638" s="101">
        <f t="shared" si="264"/>
        <v>0.2034088036286395</v>
      </c>
      <c r="P638" s="101">
        <f t="shared" si="264"/>
        <v>0.2764696268915961</v>
      </c>
      <c r="Q638" s="101">
        <f t="shared" si="264"/>
        <v>0</v>
      </c>
      <c r="R638" s="101">
        <f t="shared" si="264"/>
        <v>0</v>
      </c>
      <c r="S638" s="101">
        <f t="shared" si="264"/>
        <v>0</v>
      </c>
      <c r="T638" s="101">
        <f t="shared" si="264"/>
        <v>0</v>
      </c>
      <c r="U638" s="101">
        <f t="shared" si="264"/>
        <v>0</v>
      </c>
      <c r="V638" s="101">
        <f t="shared" si="264"/>
        <v>0</v>
      </c>
      <c r="W638" s="101">
        <f t="shared" si="264"/>
        <v>0</v>
      </c>
      <c r="X638" s="101">
        <f t="shared" si="264"/>
        <v>0</v>
      </c>
      <c r="Y638" s="101">
        <f t="shared" si="264"/>
        <v>0</v>
      </c>
      <c r="Z638" s="101">
        <f t="shared" si="264"/>
        <v>0</v>
      </c>
      <c r="AA638" s="101">
        <f t="shared" si="264"/>
        <v>0</v>
      </c>
      <c r="AB638" s="101">
        <f t="shared" si="264"/>
        <v>0</v>
      </c>
      <c r="AC638" s="101">
        <f t="shared" si="264"/>
        <v>0</v>
      </c>
      <c r="AD638" s="101">
        <f t="shared" si="264"/>
        <v>0</v>
      </c>
    </row>
    <row r="639" spans="1:30" s="45" customFormat="1" ht="18.649999999999999" customHeight="1" outlineLevel="1">
      <c r="A639" s="95"/>
      <c r="B639" s="96"/>
      <c r="C639" s="94"/>
      <c r="D639" s="44"/>
      <c r="E639" s="44"/>
      <c r="F639" s="44"/>
      <c r="G639" s="44"/>
      <c r="H639" s="44"/>
      <c r="I639" s="44"/>
      <c r="J639" s="44"/>
      <c r="K639" s="44"/>
      <c r="L639" s="44"/>
      <c r="M639" s="44"/>
      <c r="N639" s="44"/>
      <c r="O639" s="44"/>
      <c r="P639" s="44"/>
      <c r="Q639" s="44"/>
      <c r="R639" s="44"/>
      <c r="S639" s="44"/>
      <c r="T639" s="44"/>
      <c r="U639" s="44"/>
      <c r="V639" s="44"/>
      <c r="W639" s="44"/>
      <c r="X639" s="44"/>
      <c r="Y639" s="44"/>
      <c r="Z639" s="44"/>
      <c r="AA639" s="44"/>
      <c r="AB639" s="44"/>
      <c r="AC639" s="44"/>
      <c r="AD639" s="44"/>
    </row>
    <row r="640" spans="1:30" s="117" customFormat="1" ht="30.65" customHeight="1" outlineLevel="1">
      <c r="A640" s="127" t="s">
        <v>134</v>
      </c>
      <c r="B640" s="45" t="s">
        <v>284</v>
      </c>
      <c r="C640" s="125">
        <f>SUM(D640:AD640)</f>
        <v>153.35102746480584</v>
      </c>
      <c r="D640" s="128">
        <f t="shared" ref="D640:AD640" si="265">D624+D638</f>
        <v>0</v>
      </c>
      <c r="E640" s="128">
        <f t="shared" si="265"/>
        <v>0</v>
      </c>
      <c r="F640" s="128">
        <f t="shared" si="265"/>
        <v>5.2044789421992395</v>
      </c>
      <c r="G640" s="128">
        <f t="shared" si="265"/>
        <v>9.8712189195069602</v>
      </c>
      <c r="H640" s="128">
        <f t="shared" si="265"/>
        <v>10.698605487530791</v>
      </c>
      <c r="I640" s="128">
        <f t="shared" si="265"/>
        <v>10.779474083950575</v>
      </c>
      <c r="J640" s="128">
        <f t="shared" si="265"/>
        <v>11.3039929518863</v>
      </c>
      <c r="K640" s="128">
        <f t="shared" si="265"/>
        <v>10.179126559176936</v>
      </c>
      <c r="L640" s="128">
        <f t="shared" si="265"/>
        <v>10.1758325055934</v>
      </c>
      <c r="M640" s="128">
        <f t="shared" si="265"/>
        <v>10.292061415768011</v>
      </c>
      <c r="N640" s="128">
        <f t="shared" si="265"/>
        <v>10.370300661401743</v>
      </c>
      <c r="O640" s="128">
        <f t="shared" si="265"/>
        <v>10.449322299491811</v>
      </c>
      <c r="P640" s="128">
        <f t="shared" si="265"/>
        <v>10.64070715196846</v>
      </c>
      <c r="Q640" s="128">
        <f t="shared" si="265"/>
        <v>10.057410140265899</v>
      </c>
      <c r="R640" s="128">
        <f t="shared" si="265"/>
        <v>10.051027901135019</v>
      </c>
      <c r="S640" s="128">
        <f t="shared" si="265"/>
        <v>10.127933879071101</v>
      </c>
      <c r="T640" s="128">
        <f t="shared" si="265"/>
        <v>13.149534565859582</v>
      </c>
      <c r="U640" s="128">
        <f t="shared" si="265"/>
        <v>0</v>
      </c>
      <c r="V640" s="128">
        <f t="shared" si="265"/>
        <v>0</v>
      </c>
      <c r="W640" s="128">
        <f t="shared" si="265"/>
        <v>0</v>
      </c>
      <c r="X640" s="128">
        <f t="shared" si="265"/>
        <v>0</v>
      </c>
      <c r="Y640" s="128">
        <f t="shared" si="265"/>
        <v>0</v>
      </c>
      <c r="Z640" s="128">
        <f t="shared" si="265"/>
        <v>0</v>
      </c>
      <c r="AA640" s="128">
        <f t="shared" si="265"/>
        <v>0</v>
      </c>
      <c r="AB640" s="128">
        <f t="shared" si="265"/>
        <v>0</v>
      </c>
      <c r="AC640" s="128">
        <f t="shared" si="265"/>
        <v>0</v>
      </c>
      <c r="AD640" s="128">
        <f t="shared" si="265"/>
        <v>0</v>
      </c>
    </row>
    <row r="641" spans="1:30" s="45" customFormat="1" outlineLevel="1">
      <c r="A641" s="75" t="str">
        <f>A640&amp;"/tonne milled"</f>
        <v>Product Logistics - copper &amp; moly/tonne milled</v>
      </c>
      <c r="B641" s="13" t="s">
        <v>303</v>
      </c>
      <c r="C641" s="57"/>
      <c r="D641" s="57">
        <f t="shared" ref="D641:AD641" si="266">IF(D$154=0,0,D640/D$154)</f>
        <v>0</v>
      </c>
      <c r="E641" s="57">
        <f t="shared" si="266"/>
        <v>0</v>
      </c>
      <c r="F641" s="57">
        <f t="shared" si="266"/>
        <v>1.2414353440108277</v>
      </c>
      <c r="G641" s="57">
        <f t="shared" si="266"/>
        <v>1.4101741313581371</v>
      </c>
      <c r="H641" s="57">
        <f t="shared" si="266"/>
        <v>1.5283722125043988</v>
      </c>
      <c r="I641" s="57">
        <f t="shared" si="266"/>
        <v>1.5399248691357965</v>
      </c>
      <c r="J641" s="57">
        <f t="shared" si="266"/>
        <v>1.5387634384766693</v>
      </c>
      <c r="K641" s="57">
        <f t="shared" si="266"/>
        <v>1.5298109279687879</v>
      </c>
      <c r="L641" s="57">
        <f t="shared" si="266"/>
        <v>1.4536903579419143</v>
      </c>
      <c r="M641" s="57">
        <f t="shared" si="266"/>
        <v>1.4702944879668587</v>
      </c>
      <c r="N641" s="57">
        <f t="shared" si="266"/>
        <v>1.4814715230573918</v>
      </c>
      <c r="O641" s="57">
        <f t="shared" si="266"/>
        <v>1.4927603284988302</v>
      </c>
      <c r="P641" s="57">
        <f t="shared" si="266"/>
        <v>1.5201010217097799</v>
      </c>
      <c r="Q641" s="57">
        <f t="shared" si="266"/>
        <v>1.4367728771808428</v>
      </c>
      <c r="R641" s="57">
        <f t="shared" si="266"/>
        <v>1.4358611287335741</v>
      </c>
      <c r="S641" s="57">
        <f t="shared" si="266"/>
        <v>1.4468476970101574</v>
      </c>
      <c r="T641" s="57">
        <f t="shared" si="266"/>
        <v>1.6841768409475328</v>
      </c>
      <c r="U641" s="57">
        <f t="shared" si="266"/>
        <v>0</v>
      </c>
      <c r="V641" s="57">
        <f t="shared" si="266"/>
        <v>0</v>
      </c>
      <c r="W641" s="57">
        <f t="shared" si="266"/>
        <v>0</v>
      </c>
      <c r="X641" s="57">
        <f t="shared" si="266"/>
        <v>0</v>
      </c>
      <c r="Y641" s="57">
        <f t="shared" si="266"/>
        <v>0</v>
      </c>
      <c r="Z641" s="57">
        <f t="shared" si="266"/>
        <v>0</v>
      </c>
      <c r="AA641" s="57">
        <f t="shared" si="266"/>
        <v>0</v>
      </c>
      <c r="AB641" s="57">
        <f t="shared" si="266"/>
        <v>0</v>
      </c>
      <c r="AC641" s="57">
        <f t="shared" si="266"/>
        <v>0</v>
      </c>
      <c r="AD641" s="57">
        <f t="shared" si="266"/>
        <v>0</v>
      </c>
    </row>
    <row r="642" spans="1:30" s="154" customFormat="1" ht="12" outlineLevel="1">
      <c r="A642" s="151" t="str">
        <f>A$98</f>
        <v>Forex: A$ = US$  - Low Case</v>
      </c>
      <c r="B642" s="152" t="str">
        <f>B$98</f>
        <v>A$1.00 = US$ ....</v>
      </c>
      <c r="C642" s="153"/>
      <c r="D642" s="153">
        <f t="shared" ref="D642:AD642" si="267">D$98</f>
        <v>0.6</v>
      </c>
      <c r="E642" s="153">
        <f t="shared" si="267"/>
        <v>0.6</v>
      </c>
      <c r="F642" s="153">
        <f t="shared" si="267"/>
        <v>0.6</v>
      </c>
      <c r="G642" s="153">
        <f t="shared" si="267"/>
        <v>0.6</v>
      </c>
      <c r="H642" s="153">
        <f t="shared" si="267"/>
        <v>0.6</v>
      </c>
      <c r="I642" s="153">
        <f t="shared" si="267"/>
        <v>0.6</v>
      </c>
      <c r="J642" s="153">
        <f t="shared" si="267"/>
        <v>0.6</v>
      </c>
      <c r="K642" s="153">
        <f t="shared" si="267"/>
        <v>0.6</v>
      </c>
      <c r="L642" s="153">
        <f t="shared" si="267"/>
        <v>0.6</v>
      </c>
      <c r="M642" s="153">
        <f t="shared" si="267"/>
        <v>0.6</v>
      </c>
      <c r="N642" s="153">
        <f t="shared" si="267"/>
        <v>0.6</v>
      </c>
      <c r="O642" s="153">
        <f t="shared" si="267"/>
        <v>0.6</v>
      </c>
      <c r="P642" s="153">
        <f t="shared" si="267"/>
        <v>0.6</v>
      </c>
      <c r="Q642" s="153">
        <f t="shared" si="267"/>
        <v>0.6</v>
      </c>
      <c r="R642" s="153">
        <f t="shared" si="267"/>
        <v>0.6</v>
      </c>
      <c r="S642" s="153">
        <f t="shared" si="267"/>
        <v>0.6</v>
      </c>
      <c r="T642" s="153">
        <f t="shared" si="267"/>
        <v>0.6</v>
      </c>
      <c r="U642" s="153">
        <f t="shared" si="267"/>
        <v>0.6</v>
      </c>
      <c r="V642" s="153">
        <f t="shared" si="267"/>
        <v>0.6</v>
      </c>
      <c r="W642" s="153">
        <f t="shared" si="267"/>
        <v>0.6</v>
      </c>
      <c r="X642" s="153">
        <f t="shared" si="267"/>
        <v>0.6</v>
      </c>
      <c r="Y642" s="153">
        <f t="shared" si="267"/>
        <v>0.6</v>
      </c>
      <c r="Z642" s="153">
        <f t="shared" si="267"/>
        <v>0.6</v>
      </c>
      <c r="AA642" s="153">
        <f t="shared" si="267"/>
        <v>0.6</v>
      </c>
      <c r="AB642" s="153">
        <f t="shared" si="267"/>
        <v>0.6</v>
      </c>
      <c r="AC642" s="153">
        <f t="shared" si="267"/>
        <v>0.6</v>
      </c>
      <c r="AD642" s="153">
        <f t="shared" si="267"/>
        <v>0.6</v>
      </c>
    </row>
    <row r="643" spans="1:30" s="154" customFormat="1" ht="12" outlineLevel="1">
      <c r="A643" s="151" t="s">
        <v>383</v>
      </c>
      <c r="B643" s="152" t="s">
        <v>384</v>
      </c>
      <c r="C643" s="155">
        <f>SUM(D643:AD643)</f>
        <v>92.010616478883492</v>
      </c>
      <c r="D643" s="153">
        <f>D640*D642</f>
        <v>0</v>
      </c>
      <c r="E643" s="153">
        <f t="shared" ref="E643:AD643" si="268">E640*E642</f>
        <v>0</v>
      </c>
      <c r="F643" s="153">
        <f t="shared" si="268"/>
        <v>3.1226873653195435</v>
      </c>
      <c r="G643" s="153">
        <f t="shared" si="268"/>
        <v>5.9227313517041758</v>
      </c>
      <c r="H643" s="153">
        <f t="shared" si="268"/>
        <v>6.4191632925184745</v>
      </c>
      <c r="I643" s="153">
        <f t="shared" si="268"/>
        <v>6.4676844503703448</v>
      </c>
      <c r="J643" s="153">
        <f t="shared" si="268"/>
        <v>6.7823957711317799</v>
      </c>
      <c r="K643" s="153">
        <f t="shared" si="268"/>
        <v>6.1074759355061614</v>
      </c>
      <c r="L643" s="153">
        <f t="shared" si="268"/>
        <v>6.1054995033560395</v>
      </c>
      <c r="M643" s="153">
        <f t="shared" si="268"/>
        <v>6.1752368494608065</v>
      </c>
      <c r="N643" s="153">
        <f t="shared" si="268"/>
        <v>6.2221803968410452</v>
      </c>
      <c r="O643" s="153">
        <f t="shared" si="268"/>
        <v>6.2695933796950865</v>
      </c>
      <c r="P643" s="153">
        <f t="shared" si="268"/>
        <v>6.3844242911810758</v>
      </c>
      <c r="Q643" s="153">
        <f t="shared" si="268"/>
        <v>6.0344460841595398</v>
      </c>
      <c r="R643" s="153">
        <f t="shared" si="268"/>
        <v>6.0306167406810109</v>
      </c>
      <c r="S643" s="153">
        <f t="shared" si="268"/>
        <v>6.0767603274426607</v>
      </c>
      <c r="T643" s="153">
        <f t="shared" si="268"/>
        <v>7.8897207395157487</v>
      </c>
      <c r="U643" s="153">
        <f t="shared" si="268"/>
        <v>0</v>
      </c>
      <c r="V643" s="153">
        <f t="shared" si="268"/>
        <v>0</v>
      </c>
      <c r="W643" s="153">
        <f t="shared" si="268"/>
        <v>0</v>
      </c>
      <c r="X643" s="153">
        <f t="shared" si="268"/>
        <v>0</v>
      </c>
      <c r="Y643" s="153">
        <f t="shared" si="268"/>
        <v>0</v>
      </c>
      <c r="Z643" s="153">
        <f t="shared" si="268"/>
        <v>0</v>
      </c>
      <c r="AA643" s="153">
        <f t="shared" si="268"/>
        <v>0</v>
      </c>
      <c r="AB643" s="153">
        <f t="shared" si="268"/>
        <v>0</v>
      </c>
      <c r="AC643" s="153">
        <f t="shared" si="268"/>
        <v>0</v>
      </c>
      <c r="AD643" s="153">
        <f t="shared" si="268"/>
        <v>0</v>
      </c>
    </row>
    <row r="644" spans="1:30" s="45" customFormat="1" outlineLevel="1">
      <c r="A644" s="59"/>
      <c r="C644" s="53"/>
      <c r="D644" s="44"/>
      <c r="E644" s="44"/>
      <c r="F644" s="44"/>
      <c r="G644" s="44"/>
      <c r="H644" s="44"/>
      <c r="I644" s="44"/>
      <c r="J644" s="44"/>
      <c r="K644" s="44"/>
      <c r="L644" s="44"/>
      <c r="M644" s="44"/>
      <c r="N644" s="44"/>
      <c r="O644" s="44"/>
      <c r="P644" s="44"/>
      <c r="Q644" s="44"/>
      <c r="R644" s="44"/>
      <c r="S644" s="44"/>
      <c r="T644" s="44"/>
      <c r="U644" s="44"/>
      <c r="V644" s="44"/>
      <c r="W644" s="44"/>
      <c r="X644" s="44"/>
      <c r="Y644" s="44"/>
      <c r="Z644" s="44"/>
      <c r="AA644" s="44"/>
      <c r="AB644" s="44"/>
      <c r="AC644" s="44"/>
      <c r="AD644" s="44"/>
    </row>
    <row r="645" spans="1:30" s="18" customFormat="1" ht="37.25" customHeight="1">
      <c r="A645" s="124" t="str">
        <f>"Operating Costs in A$ - "&amp;A3</f>
        <v>Operating Costs in A$ - Low Case</v>
      </c>
      <c r="B645" s="32" t="s">
        <v>376</v>
      </c>
      <c r="C645" s="29">
        <f>SUM(D645:AD645)</f>
        <v>9044.1990274648051</v>
      </c>
      <c r="D645" s="296">
        <f t="shared" ref="D645:AD645" si="269">D460+D509+D574+D593+D603+D640</f>
        <v>3.8</v>
      </c>
      <c r="E645" s="296">
        <f t="shared" si="269"/>
        <v>250.75</v>
      </c>
      <c r="F645" s="296">
        <f t="shared" si="269"/>
        <v>385.61364817296845</v>
      </c>
      <c r="G645" s="296">
        <f t="shared" si="269"/>
        <v>427.741618919507</v>
      </c>
      <c r="H645" s="296">
        <f t="shared" si="269"/>
        <v>587.31900548753072</v>
      </c>
      <c r="I645" s="296">
        <f t="shared" si="269"/>
        <v>587.39987408395052</v>
      </c>
      <c r="J645" s="296">
        <f t="shared" si="269"/>
        <v>699.37577756727092</v>
      </c>
      <c r="K645" s="296">
        <f t="shared" si="269"/>
        <v>667.19814194379228</v>
      </c>
      <c r="L645" s="296">
        <f t="shared" si="269"/>
        <v>673.69623250559323</v>
      </c>
      <c r="M645" s="296">
        <f t="shared" si="269"/>
        <v>676.61246141576794</v>
      </c>
      <c r="N645" s="296">
        <f t="shared" si="269"/>
        <v>679.49070066140166</v>
      </c>
      <c r="O645" s="296">
        <f t="shared" si="269"/>
        <v>682.36972229949163</v>
      </c>
      <c r="P645" s="296">
        <f t="shared" si="269"/>
        <v>663.26110715196842</v>
      </c>
      <c r="Q645" s="296">
        <f t="shared" si="269"/>
        <v>504.52781014026584</v>
      </c>
      <c r="R645" s="296">
        <f t="shared" si="269"/>
        <v>508.12142790113489</v>
      </c>
      <c r="S645" s="296">
        <f t="shared" si="269"/>
        <v>435.99833387907103</v>
      </c>
      <c r="T645" s="296">
        <f t="shared" si="269"/>
        <v>610.92316533509029</v>
      </c>
      <c r="U645" s="296">
        <f t="shared" si="269"/>
        <v>0</v>
      </c>
      <c r="V645" s="296">
        <f t="shared" si="269"/>
        <v>0</v>
      </c>
      <c r="W645" s="296">
        <f t="shared" si="269"/>
        <v>0</v>
      </c>
      <c r="X645" s="296">
        <f t="shared" si="269"/>
        <v>0</v>
      </c>
      <c r="Y645" s="296">
        <f t="shared" si="269"/>
        <v>0</v>
      </c>
      <c r="Z645" s="296">
        <f t="shared" si="269"/>
        <v>0</v>
      </c>
      <c r="AA645" s="296">
        <f t="shared" si="269"/>
        <v>0</v>
      </c>
      <c r="AB645" s="296">
        <f t="shared" si="269"/>
        <v>0</v>
      </c>
      <c r="AC645" s="296">
        <f t="shared" si="269"/>
        <v>0</v>
      </c>
      <c r="AD645" s="296">
        <f t="shared" si="269"/>
        <v>0</v>
      </c>
    </row>
    <row r="646" spans="1:30" s="45" customFormat="1" outlineLevel="1">
      <c r="A646" s="75" t="str">
        <f>A645&amp;"/tonne milled"</f>
        <v>Operating Costs in A$ - Low Case/tonne milled</v>
      </c>
      <c r="B646" s="13" t="s">
        <v>303</v>
      </c>
      <c r="C646" s="42">
        <f>IF(C$154=0,0,C645/C$154)</f>
        <v>87.807757548201991</v>
      </c>
      <c r="D646" s="42">
        <f t="shared" ref="D646:AD646" si="270">IF(D$154=0,0,D645/D$154)</f>
        <v>0</v>
      </c>
      <c r="E646" s="42">
        <f t="shared" si="270"/>
        <v>0</v>
      </c>
      <c r="F646" s="42">
        <f t="shared" si="270"/>
        <v>91.981237178873201</v>
      </c>
      <c r="G646" s="42">
        <f t="shared" si="270"/>
        <v>61.105945559929573</v>
      </c>
      <c r="H646" s="42">
        <f t="shared" si="270"/>
        <v>83.902715069647243</v>
      </c>
      <c r="I646" s="42">
        <f t="shared" si="270"/>
        <v>83.914267726278652</v>
      </c>
      <c r="J646" s="42">
        <f t="shared" si="270"/>
        <v>95.202985428005476</v>
      </c>
      <c r="K646" s="42">
        <f t="shared" si="270"/>
        <v>100.27255312450058</v>
      </c>
      <c r="L646" s="42">
        <f t="shared" si="270"/>
        <v>96.242318929370455</v>
      </c>
      <c r="M646" s="42">
        <f t="shared" si="270"/>
        <v>96.65892305939542</v>
      </c>
      <c r="N646" s="42">
        <f t="shared" si="270"/>
        <v>97.070100094485952</v>
      </c>
      <c r="O646" s="42">
        <f t="shared" si="270"/>
        <v>97.481388899927381</v>
      </c>
      <c r="P646" s="42">
        <f t="shared" si="270"/>
        <v>94.751586735995488</v>
      </c>
      <c r="Q646" s="42">
        <f t="shared" si="270"/>
        <v>72.075401448609412</v>
      </c>
      <c r="R646" s="42">
        <f t="shared" si="270"/>
        <v>72.588775414447838</v>
      </c>
      <c r="S646" s="42">
        <f t="shared" si="270"/>
        <v>62.285476268438721</v>
      </c>
      <c r="T646" s="42">
        <f t="shared" si="270"/>
        <v>78.246316742425364</v>
      </c>
      <c r="U646" s="42">
        <f t="shared" si="270"/>
        <v>0</v>
      </c>
      <c r="V646" s="42">
        <f t="shared" si="270"/>
        <v>0</v>
      </c>
      <c r="W646" s="42">
        <f t="shared" si="270"/>
        <v>0</v>
      </c>
      <c r="X646" s="42">
        <f t="shared" si="270"/>
        <v>0</v>
      </c>
      <c r="Y646" s="42">
        <f t="shared" si="270"/>
        <v>0</v>
      </c>
      <c r="Z646" s="42">
        <f t="shared" si="270"/>
        <v>0</v>
      </c>
      <c r="AA646" s="42">
        <f t="shared" si="270"/>
        <v>0</v>
      </c>
      <c r="AB646" s="42">
        <f t="shared" si="270"/>
        <v>0</v>
      </c>
      <c r="AC646" s="42">
        <f t="shared" si="270"/>
        <v>0</v>
      </c>
      <c r="AD646" s="42">
        <f t="shared" si="270"/>
        <v>0</v>
      </c>
    </row>
    <row r="647" spans="1:30" s="45" customFormat="1" outlineLevel="1">
      <c r="A647" s="75"/>
      <c r="B647" s="13"/>
      <c r="C647" s="57"/>
      <c r="D647" s="57"/>
      <c r="E647" s="57"/>
      <c r="F647" s="57"/>
      <c r="G647" s="57"/>
      <c r="H647" s="57"/>
      <c r="I647" s="57"/>
      <c r="J647" s="57"/>
      <c r="K647" s="57"/>
      <c r="L647" s="57"/>
      <c r="M647" s="57"/>
      <c r="N647" s="57"/>
      <c r="O647" s="57"/>
      <c r="P647" s="57"/>
      <c r="Q647" s="57"/>
      <c r="R647" s="57"/>
      <c r="S647" s="57"/>
      <c r="T647" s="57"/>
      <c r="U647" s="57"/>
      <c r="V647" s="57"/>
      <c r="W647" s="57"/>
      <c r="X647" s="57"/>
      <c r="Y647" s="57"/>
      <c r="Z647" s="57"/>
      <c r="AA647" s="57"/>
      <c r="AB647" s="57"/>
      <c r="AC647" s="57"/>
      <c r="AD647" s="57"/>
    </row>
    <row r="648" spans="1:30" outlineLevel="1">
      <c r="A648" s="144" t="str">
        <f>A$98</f>
        <v>Forex: A$ = US$  - Low Case</v>
      </c>
      <c r="B648" s="142" t="str">
        <f>B$98</f>
        <v>A$1.00 = US$ ....</v>
      </c>
      <c r="C648" s="57"/>
      <c r="D648" s="57">
        <f t="shared" ref="D648:AD648" si="271">D$98</f>
        <v>0.6</v>
      </c>
      <c r="E648" s="57">
        <f t="shared" si="271"/>
        <v>0.6</v>
      </c>
      <c r="F648" s="57">
        <f t="shared" si="271"/>
        <v>0.6</v>
      </c>
      <c r="G648" s="57">
        <f t="shared" si="271"/>
        <v>0.6</v>
      </c>
      <c r="H648" s="57">
        <f t="shared" si="271"/>
        <v>0.6</v>
      </c>
      <c r="I648" s="57">
        <f t="shared" si="271"/>
        <v>0.6</v>
      </c>
      <c r="J648" s="57">
        <f t="shared" si="271"/>
        <v>0.6</v>
      </c>
      <c r="K648" s="57">
        <f t="shared" si="271"/>
        <v>0.6</v>
      </c>
      <c r="L648" s="57">
        <f t="shared" si="271"/>
        <v>0.6</v>
      </c>
      <c r="M648" s="57">
        <f t="shared" si="271"/>
        <v>0.6</v>
      </c>
      <c r="N648" s="57">
        <f t="shared" si="271"/>
        <v>0.6</v>
      </c>
      <c r="O648" s="57">
        <f t="shared" si="271"/>
        <v>0.6</v>
      </c>
      <c r="P648" s="57">
        <f t="shared" si="271"/>
        <v>0.6</v>
      </c>
      <c r="Q648" s="57">
        <f t="shared" si="271"/>
        <v>0.6</v>
      </c>
      <c r="R648" s="57">
        <f t="shared" si="271"/>
        <v>0.6</v>
      </c>
      <c r="S648" s="57">
        <f t="shared" si="271"/>
        <v>0.6</v>
      </c>
      <c r="T648" s="57">
        <f t="shared" si="271"/>
        <v>0.6</v>
      </c>
      <c r="U648" s="57">
        <f t="shared" si="271"/>
        <v>0.6</v>
      </c>
      <c r="V648" s="57">
        <f t="shared" si="271"/>
        <v>0.6</v>
      </c>
      <c r="W648" s="57">
        <f t="shared" si="271"/>
        <v>0.6</v>
      </c>
      <c r="X648" s="57">
        <f t="shared" si="271"/>
        <v>0.6</v>
      </c>
      <c r="Y648" s="57">
        <f t="shared" si="271"/>
        <v>0.6</v>
      </c>
      <c r="Z648" s="57">
        <f t="shared" si="271"/>
        <v>0.6</v>
      </c>
      <c r="AA648" s="57">
        <f t="shared" si="271"/>
        <v>0.6</v>
      </c>
      <c r="AB648" s="57">
        <f t="shared" si="271"/>
        <v>0.6</v>
      </c>
      <c r="AC648" s="57">
        <f t="shared" si="271"/>
        <v>0.6</v>
      </c>
      <c r="AD648" s="57">
        <f t="shared" si="271"/>
        <v>0.6</v>
      </c>
    </row>
    <row r="649" spans="1:30" s="25" customFormat="1" ht="37.25" customHeight="1">
      <c r="A649" s="26" t="str">
        <f>"Cashstream 3: Operating Costs - "&amp;A3</f>
        <v>Cashstream 3: Operating Costs - Low Case</v>
      </c>
      <c r="B649" s="32" t="s">
        <v>100</v>
      </c>
      <c r="C649" s="27">
        <f>SUM(D649:AD649)</f>
        <v>5426.5194164788827</v>
      </c>
      <c r="D649" s="129">
        <f t="shared" ref="D649:AD649" si="272">D645*D648</f>
        <v>2.2799999999999998</v>
      </c>
      <c r="E649" s="129">
        <f t="shared" si="272"/>
        <v>150.44999999999999</v>
      </c>
      <c r="F649" s="129">
        <f t="shared" si="272"/>
        <v>231.36818890378106</v>
      </c>
      <c r="G649" s="129">
        <f t="shared" si="272"/>
        <v>256.64497135170421</v>
      </c>
      <c r="H649" s="129">
        <f t="shared" si="272"/>
        <v>352.39140329251842</v>
      </c>
      <c r="I649" s="129">
        <f t="shared" si="272"/>
        <v>352.43992445037031</v>
      </c>
      <c r="J649" s="129">
        <f t="shared" si="272"/>
        <v>419.62546654036254</v>
      </c>
      <c r="K649" s="129">
        <f t="shared" si="272"/>
        <v>400.31888516627538</v>
      </c>
      <c r="L649" s="129">
        <f t="shared" si="272"/>
        <v>404.21773950335592</v>
      </c>
      <c r="M649" s="129">
        <f t="shared" si="272"/>
        <v>405.96747684946075</v>
      </c>
      <c r="N649" s="129">
        <f t="shared" si="272"/>
        <v>407.694420396841</v>
      </c>
      <c r="O649" s="129">
        <f t="shared" si="272"/>
        <v>409.42183337969499</v>
      </c>
      <c r="P649" s="129">
        <f t="shared" si="272"/>
        <v>397.95666429118103</v>
      </c>
      <c r="Q649" s="129">
        <f t="shared" si="272"/>
        <v>302.71668608415951</v>
      </c>
      <c r="R649" s="129">
        <f t="shared" si="272"/>
        <v>304.8728567406809</v>
      </c>
      <c r="S649" s="129">
        <f t="shared" si="272"/>
        <v>261.59900032744258</v>
      </c>
      <c r="T649" s="129">
        <f t="shared" si="272"/>
        <v>366.55389920105415</v>
      </c>
      <c r="U649" s="129">
        <f t="shared" si="272"/>
        <v>0</v>
      </c>
      <c r="V649" s="129">
        <f t="shared" si="272"/>
        <v>0</v>
      </c>
      <c r="W649" s="129">
        <f t="shared" si="272"/>
        <v>0</v>
      </c>
      <c r="X649" s="129">
        <f t="shared" si="272"/>
        <v>0</v>
      </c>
      <c r="Y649" s="129">
        <f t="shared" si="272"/>
        <v>0</v>
      </c>
      <c r="Z649" s="129">
        <f t="shared" si="272"/>
        <v>0</v>
      </c>
      <c r="AA649" s="129">
        <f t="shared" si="272"/>
        <v>0</v>
      </c>
      <c r="AB649" s="129">
        <f t="shared" si="272"/>
        <v>0</v>
      </c>
      <c r="AC649" s="129">
        <f t="shared" si="272"/>
        <v>0</v>
      </c>
      <c r="AD649" s="129">
        <f t="shared" si="272"/>
        <v>0</v>
      </c>
    </row>
    <row r="650" spans="1:30" s="45" customFormat="1" outlineLevel="1">
      <c r="A650" s="75"/>
      <c r="B650" s="13"/>
      <c r="C650" s="57"/>
      <c r="D650" s="57"/>
      <c r="E650" s="57"/>
      <c r="F650" s="57"/>
      <c r="G650" s="57"/>
      <c r="H650" s="57"/>
      <c r="I650" s="57"/>
      <c r="J650" s="57"/>
      <c r="K650" s="57"/>
      <c r="L650" s="57"/>
      <c r="M650" s="57"/>
      <c r="N650" s="57"/>
      <c r="O650" s="57"/>
      <c r="P650" s="57"/>
      <c r="Q650" s="57"/>
      <c r="R650" s="57"/>
      <c r="S650" s="57"/>
      <c r="T650" s="57"/>
      <c r="U650" s="57"/>
      <c r="V650" s="57"/>
      <c r="W650" s="57"/>
      <c r="X650" s="57"/>
      <c r="Y650" s="57"/>
      <c r="Z650" s="57"/>
      <c r="AA650" s="57"/>
      <c r="AB650" s="57"/>
      <c r="AC650" s="57"/>
      <c r="AD650" s="57"/>
    </row>
    <row r="651" spans="1:30">
      <c r="A651" s="143" t="s">
        <v>148</v>
      </c>
      <c r="B651" s="13" t="s">
        <v>100</v>
      </c>
      <c r="C651" s="42">
        <f>SUM(D651:AD651)</f>
        <v>5902.5021392553517</v>
      </c>
      <c r="D651" s="42">
        <f t="shared" ref="D651:AD651" si="273">D649+D698</f>
        <v>2.2799999999999998</v>
      </c>
      <c r="E651" s="42">
        <f t="shared" si="273"/>
        <v>150.44999999999999</v>
      </c>
      <c r="F651" s="42">
        <f t="shared" si="273"/>
        <v>249.57061360835201</v>
      </c>
      <c r="G651" s="42">
        <f t="shared" si="273"/>
        <v>291.13347364247215</v>
      </c>
      <c r="H651" s="42">
        <f t="shared" si="273"/>
        <v>389.62109459167073</v>
      </c>
      <c r="I651" s="42">
        <f t="shared" si="273"/>
        <v>389.66593970905444</v>
      </c>
      <c r="J651" s="42">
        <f t="shared" si="273"/>
        <v>458.35012316407546</v>
      </c>
      <c r="K651" s="42">
        <f t="shared" si="273"/>
        <v>433.53539262881259</v>
      </c>
      <c r="L651" s="42">
        <f t="shared" si="273"/>
        <v>435.90135881186507</v>
      </c>
      <c r="M651" s="42">
        <f t="shared" si="273"/>
        <v>437.55235884446381</v>
      </c>
      <c r="N651" s="42">
        <f t="shared" si="273"/>
        <v>439.27563954054801</v>
      </c>
      <c r="O651" s="42">
        <f t="shared" si="273"/>
        <v>440.99935304359309</v>
      </c>
      <c r="P651" s="42">
        <f t="shared" si="273"/>
        <v>430.67091564331963</v>
      </c>
      <c r="Q651" s="42">
        <f t="shared" si="273"/>
        <v>330.35468138164822</v>
      </c>
      <c r="R651" s="42">
        <f t="shared" si="273"/>
        <v>332.28041162626448</v>
      </c>
      <c r="S651" s="42">
        <f t="shared" si="273"/>
        <v>289.00286372608525</v>
      </c>
      <c r="T651" s="42">
        <f t="shared" si="273"/>
        <v>401.85791929312654</v>
      </c>
      <c r="U651" s="42">
        <f t="shared" si="273"/>
        <v>0</v>
      </c>
      <c r="V651" s="42">
        <f t="shared" si="273"/>
        <v>0</v>
      </c>
      <c r="W651" s="42">
        <f t="shared" si="273"/>
        <v>0</v>
      </c>
      <c r="X651" s="42">
        <f t="shared" si="273"/>
        <v>0</v>
      </c>
      <c r="Y651" s="42">
        <f t="shared" si="273"/>
        <v>0</v>
      </c>
      <c r="Z651" s="42">
        <f t="shared" si="273"/>
        <v>0</v>
      </c>
      <c r="AA651" s="42">
        <f t="shared" si="273"/>
        <v>0</v>
      </c>
      <c r="AB651" s="42">
        <f t="shared" si="273"/>
        <v>0</v>
      </c>
      <c r="AC651" s="42">
        <f t="shared" si="273"/>
        <v>0</v>
      </c>
      <c r="AD651" s="42">
        <f t="shared" si="273"/>
        <v>0</v>
      </c>
    </row>
    <row r="652" spans="1:30">
      <c r="A652" s="143" t="str">
        <f>A318</f>
        <v>Minor metal credits</v>
      </c>
      <c r="B652" s="69" t="str">
        <f>B318</f>
        <v>US$ millions Real</v>
      </c>
      <c r="C652" s="42">
        <f>SUM(D652:AD652)</f>
        <v>1615.7488862021166</v>
      </c>
      <c r="D652" s="42">
        <f t="shared" ref="D652:AD652" si="274">D318</f>
        <v>0</v>
      </c>
      <c r="E652" s="42">
        <f t="shared" si="274"/>
        <v>0</v>
      </c>
      <c r="F652" s="42">
        <f t="shared" si="274"/>
        <v>85.570862985908917</v>
      </c>
      <c r="G652" s="42">
        <f t="shared" si="274"/>
        <v>166.57010011618547</v>
      </c>
      <c r="H652" s="42">
        <f t="shared" si="274"/>
        <v>182.43608791129552</v>
      </c>
      <c r="I652" s="42">
        <f t="shared" si="274"/>
        <v>182.43608791129552</v>
      </c>
      <c r="J652" s="42">
        <f t="shared" si="274"/>
        <v>189.5015720110494</v>
      </c>
      <c r="K652" s="42">
        <f t="shared" si="274"/>
        <v>134.98895600998793</v>
      </c>
      <c r="L652" s="42">
        <f t="shared" si="274"/>
        <v>102.95581599041901</v>
      </c>
      <c r="M652" s="42">
        <f t="shared" si="274"/>
        <v>98.084958505466233</v>
      </c>
      <c r="N652" s="42">
        <f t="shared" si="274"/>
        <v>98.084958505466233</v>
      </c>
      <c r="O652" s="42">
        <f t="shared" si="274"/>
        <v>98.084958505466233</v>
      </c>
      <c r="P652" s="42">
        <f t="shared" si="274"/>
        <v>118.80282663654154</v>
      </c>
      <c r="Q652" s="42">
        <f t="shared" si="274"/>
        <v>37.130710759337127</v>
      </c>
      <c r="R652" s="42">
        <f t="shared" si="274"/>
        <v>36.826032154340837</v>
      </c>
      <c r="S652" s="42">
        <f t="shared" si="274"/>
        <v>36.826032154340837</v>
      </c>
      <c r="T652" s="42">
        <f t="shared" si="274"/>
        <v>47.448926045016066</v>
      </c>
      <c r="U652" s="42">
        <f t="shared" si="274"/>
        <v>0</v>
      </c>
      <c r="V652" s="42">
        <f t="shared" si="274"/>
        <v>0</v>
      </c>
      <c r="W652" s="42">
        <f t="shared" si="274"/>
        <v>0</v>
      </c>
      <c r="X652" s="42">
        <f t="shared" si="274"/>
        <v>0</v>
      </c>
      <c r="Y652" s="42">
        <f t="shared" si="274"/>
        <v>0</v>
      </c>
      <c r="Z652" s="42">
        <f t="shared" si="274"/>
        <v>0</v>
      </c>
      <c r="AA652" s="42">
        <f t="shared" si="274"/>
        <v>0</v>
      </c>
      <c r="AB652" s="42">
        <f t="shared" si="274"/>
        <v>0</v>
      </c>
      <c r="AC652" s="42">
        <f t="shared" si="274"/>
        <v>0</v>
      </c>
      <c r="AD652" s="42">
        <f t="shared" si="274"/>
        <v>0</v>
      </c>
    </row>
    <row r="653" spans="1:30">
      <c r="A653" s="143" t="s">
        <v>614</v>
      </c>
      <c r="B653" s="13" t="s">
        <v>82</v>
      </c>
      <c r="C653" s="42">
        <f>SUM(D653:AD653)</f>
        <v>4286.7532530532344</v>
      </c>
      <c r="D653" s="70">
        <f t="shared" ref="D653:AD653" si="275">D651-D652</f>
        <v>2.2799999999999998</v>
      </c>
      <c r="E653" s="70">
        <f t="shared" si="275"/>
        <v>150.44999999999999</v>
      </c>
      <c r="F653" s="70">
        <f t="shared" si="275"/>
        <v>163.99975062244309</v>
      </c>
      <c r="G653" s="70">
        <f t="shared" si="275"/>
        <v>124.56337352628668</v>
      </c>
      <c r="H653" s="70">
        <f t="shared" si="275"/>
        <v>207.18500668037521</v>
      </c>
      <c r="I653" s="70">
        <f t="shared" si="275"/>
        <v>207.22985179775893</v>
      </c>
      <c r="J653" s="70">
        <f t="shared" si="275"/>
        <v>268.84855115302605</v>
      </c>
      <c r="K653" s="70">
        <f t="shared" si="275"/>
        <v>298.54643661882466</v>
      </c>
      <c r="L653" s="70">
        <f t="shared" si="275"/>
        <v>332.94554282144605</v>
      </c>
      <c r="M653" s="70">
        <f t="shared" si="275"/>
        <v>339.46740033899755</v>
      </c>
      <c r="N653" s="70">
        <f t="shared" si="275"/>
        <v>341.19068103508175</v>
      </c>
      <c r="O653" s="70">
        <f t="shared" si="275"/>
        <v>342.91439453812688</v>
      </c>
      <c r="P653" s="70">
        <f t="shared" si="275"/>
        <v>311.86808900677806</v>
      </c>
      <c r="Q653" s="70">
        <f t="shared" si="275"/>
        <v>293.22397062231107</v>
      </c>
      <c r="R653" s="70">
        <f t="shared" si="275"/>
        <v>295.45437947192363</v>
      </c>
      <c r="S653" s="70">
        <f t="shared" si="275"/>
        <v>252.1768315717444</v>
      </c>
      <c r="T653" s="70">
        <f t="shared" si="275"/>
        <v>354.40899324811051</v>
      </c>
      <c r="U653" s="70">
        <f t="shared" si="275"/>
        <v>0</v>
      </c>
      <c r="V653" s="70">
        <f t="shared" si="275"/>
        <v>0</v>
      </c>
      <c r="W653" s="70">
        <f t="shared" si="275"/>
        <v>0</v>
      </c>
      <c r="X653" s="70">
        <f t="shared" si="275"/>
        <v>0</v>
      </c>
      <c r="Y653" s="70">
        <f t="shared" si="275"/>
        <v>0</v>
      </c>
      <c r="Z653" s="70">
        <f t="shared" si="275"/>
        <v>0</v>
      </c>
      <c r="AA653" s="70">
        <f t="shared" si="275"/>
        <v>0</v>
      </c>
      <c r="AB653" s="70">
        <f t="shared" si="275"/>
        <v>0</v>
      </c>
      <c r="AC653" s="70">
        <f t="shared" si="275"/>
        <v>0</v>
      </c>
      <c r="AD653" s="70">
        <f t="shared" si="275"/>
        <v>0</v>
      </c>
    </row>
    <row r="654" spans="1:30" ht="13.5" thickBot="1">
      <c r="A654" s="143" t="str">
        <f>A170</f>
        <v>copper conc - contained copper - Low Case</v>
      </c>
      <c r="B654" s="69" t="str">
        <f>B170</f>
        <v>000 tonnes Cu</v>
      </c>
      <c r="C654" s="42">
        <f>SUM(D654:AD654)</f>
        <v>727.10399999999981</v>
      </c>
      <c r="D654" s="42">
        <f t="shared" ref="D654:AD654" si="276">D170</f>
        <v>0</v>
      </c>
      <c r="E654" s="42">
        <f t="shared" si="276"/>
        <v>0</v>
      </c>
      <c r="F654" s="42">
        <f t="shared" si="276"/>
        <v>30.989538461538466</v>
      </c>
      <c r="G654" s="42">
        <f t="shared" si="276"/>
        <v>51.744</v>
      </c>
      <c r="H654" s="42">
        <f t="shared" si="276"/>
        <v>51.744</v>
      </c>
      <c r="I654" s="42">
        <f t="shared" si="276"/>
        <v>51.744</v>
      </c>
      <c r="J654" s="42">
        <f t="shared" si="276"/>
        <v>54.302769230769229</v>
      </c>
      <c r="K654" s="42">
        <f t="shared" si="276"/>
        <v>47.479384615384618</v>
      </c>
      <c r="L654" s="42">
        <f t="shared" si="276"/>
        <v>49.05599999999999</v>
      </c>
      <c r="M654" s="42">
        <f t="shared" si="276"/>
        <v>49.05599999999999</v>
      </c>
      <c r="N654" s="42">
        <f t="shared" si="276"/>
        <v>49.05599999999999</v>
      </c>
      <c r="O654" s="42">
        <f t="shared" si="276"/>
        <v>49.05599999999999</v>
      </c>
      <c r="P654" s="42">
        <f t="shared" si="276"/>
        <v>49.28861538461539</v>
      </c>
      <c r="Q654" s="42">
        <f t="shared" si="276"/>
        <v>47.04</v>
      </c>
      <c r="R654" s="42">
        <f t="shared" si="276"/>
        <v>47.04</v>
      </c>
      <c r="S654" s="42">
        <f t="shared" si="276"/>
        <v>47.04</v>
      </c>
      <c r="T654" s="42">
        <f t="shared" si="276"/>
        <v>52.46769230769231</v>
      </c>
      <c r="U654" s="42">
        <f t="shared" si="276"/>
        <v>0</v>
      </c>
      <c r="V654" s="42">
        <f t="shared" si="276"/>
        <v>0</v>
      </c>
      <c r="W654" s="42">
        <f t="shared" si="276"/>
        <v>0</v>
      </c>
      <c r="X654" s="42">
        <f t="shared" si="276"/>
        <v>0</v>
      </c>
      <c r="Y654" s="42">
        <f t="shared" si="276"/>
        <v>0</v>
      </c>
      <c r="Z654" s="42">
        <f t="shared" si="276"/>
        <v>0</v>
      </c>
      <c r="AA654" s="42">
        <f t="shared" si="276"/>
        <v>0</v>
      </c>
      <c r="AB654" s="42">
        <f t="shared" si="276"/>
        <v>0</v>
      </c>
      <c r="AC654" s="42">
        <f t="shared" si="276"/>
        <v>0</v>
      </c>
      <c r="AD654" s="42">
        <f t="shared" si="276"/>
        <v>0</v>
      </c>
    </row>
    <row r="655" spans="1:30" s="14" customFormat="1" ht="13.5" thickBot="1">
      <c r="A655" s="159" t="str">
        <f>A653</f>
        <v>Opex plus Royalty less Credits - Low Case</v>
      </c>
      <c r="B655" s="14" t="s">
        <v>93</v>
      </c>
      <c r="C655" s="158">
        <f t="shared" ref="C655:AD655" si="277">IF(C170=0,0,C653/C170/2.2046)</f>
        <v>2.674250891120193</v>
      </c>
      <c r="D655" s="87">
        <f t="shared" si="277"/>
        <v>0</v>
      </c>
      <c r="E655" s="87">
        <f t="shared" si="277"/>
        <v>0</v>
      </c>
      <c r="F655" s="87">
        <f t="shared" si="277"/>
        <v>2.4004810196700954</v>
      </c>
      <c r="G655" s="87">
        <f t="shared" si="277"/>
        <v>1.091944487886283</v>
      </c>
      <c r="H655" s="87">
        <f t="shared" si="277"/>
        <v>1.8162202870137909</v>
      </c>
      <c r="I655" s="87">
        <f t="shared" si="277"/>
        <v>1.816613407217182</v>
      </c>
      <c r="J655" s="87">
        <f t="shared" si="277"/>
        <v>2.2457216187256801</v>
      </c>
      <c r="K655" s="87">
        <f t="shared" si="277"/>
        <v>2.8521805072573163</v>
      </c>
      <c r="L655" s="87">
        <f t="shared" si="277"/>
        <v>3.078585851113476</v>
      </c>
      <c r="M655" s="87">
        <f t="shared" si="277"/>
        <v>3.1388903024251418</v>
      </c>
      <c r="N655" s="87">
        <f t="shared" si="277"/>
        <v>3.1548246426884292</v>
      </c>
      <c r="O655" s="87">
        <f t="shared" si="277"/>
        <v>3.1707629849076366</v>
      </c>
      <c r="P655" s="87">
        <f t="shared" si="277"/>
        <v>2.8700834072129715</v>
      </c>
      <c r="Q655" s="87">
        <f t="shared" si="277"/>
        <v>2.8274983111833638</v>
      </c>
      <c r="R655" s="87">
        <f t="shared" si="277"/>
        <v>2.8490056840019764</v>
      </c>
      <c r="S655" s="87">
        <f t="shared" si="277"/>
        <v>2.4316892097034626</v>
      </c>
      <c r="T655" s="87">
        <f t="shared" si="277"/>
        <v>3.0639591277701608</v>
      </c>
      <c r="U655" s="87">
        <f t="shared" si="277"/>
        <v>0</v>
      </c>
      <c r="V655" s="87">
        <f t="shared" si="277"/>
        <v>0</v>
      </c>
      <c r="W655" s="87">
        <f t="shared" si="277"/>
        <v>0</v>
      </c>
      <c r="X655" s="87">
        <f t="shared" si="277"/>
        <v>0</v>
      </c>
      <c r="Y655" s="87">
        <f t="shared" si="277"/>
        <v>0</v>
      </c>
      <c r="Z655" s="87">
        <f t="shared" si="277"/>
        <v>0</v>
      </c>
      <c r="AA655" s="87">
        <f t="shared" si="277"/>
        <v>0</v>
      </c>
      <c r="AB655" s="87">
        <f t="shared" si="277"/>
        <v>0</v>
      </c>
      <c r="AC655" s="87">
        <f t="shared" si="277"/>
        <v>0</v>
      </c>
      <c r="AD655" s="87">
        <f t="shared" si="277"/>
        <v>0</v>
      </c>
    </row>
    <row r="656" spans="1:30">
      <c r="A656" s="69"/>
      <c r="C656" s="42"/>
      <c r="D656" s="42"/>
      <c r="E656" s="42"/>
      <c r="F656" s="42"/>
      <c r="G656" s="42"/>
      <c r="H656" s="42"/>
      <c r="I656" s="42"/>
      <c r="J656" s="42"/>
      <c r="K656" s="42"/>
      <c r="L656" s="42"/>
      <c r="M656" s="42"/>
      <c r="N656" s="42"/>
      <c r="O656" s="42"/>
      <c r="P656" s="42"/>
      <c r="Q656" s="42"/>
      <c r="R656" s="42"/>
      <c r="S656" s="42"/>
      <c r="T656" s="42"/>
      <c r="U656" s="42"/>
      <c r="V656" s="42"/>
      <c r="W656" s="42"/>
      <c r="X656" s="42"/>
      <c r="Y656" s="42"/>
      <c r="Z656" s="42"/>
      <c r="AA656" s="42"/>
      <c r="AB656" s="42"/>
      <c r="AC656" s="42"/>
      <c r="AD656" s="42"/>
    </row>
    <row r="657" spans="1:30" s="8" customFormat="1" ht="15.5">
      <c r="A657" s="242" t="str">
        <f>'Expected NPV &amp; Common Data'!A$36</f>
        <v>Calendar Year --&gt;</v>
      </c>
      <c r="B657" s="243" t="str">
        <f>'Expected NPV &amp; Common Data'!B$36</f>
        <v>units</v>
      </c>
      <c r="C657" s="244" t="str">
        <f>'Expected NPV &amp; Common Data'!C$36</f>
        <v>Total</v>
      </c>
      <c r="D657" s="245">
        <f>'Expected NPV &amp; Common Data'!D$36</f>
        <v>2027</v>
      </c>
      <c r="E657" s="245">
        <f>'Expected NPV &amp; Common Data'!E$36</f>
        <v>2028</v>
      </c>
      <c r="F657" s="245">
        <f>'Expected NPV &amp; Common Data'!F$36</f>
        <v>2029</v>
      </c>
      <c r="G657" s="245">
        <f>'Expected NPV &amp; Common Data'!G$36</f>
        <v>2030</v>
      </c>
      <c r="H657" s="245">
        <f>'Expected NPV &amp; Common Data'!H$36</f>
        <v>2031</v>
      </c>
      <c r="I657" s="245">
        <f>'Expected NPV &amp; Common Data'!I$36</f>
        <v>2032</v>
      </c>
      <c r="J657" s="245">
        <f>'Expected NPV &amp; Common Data'!J$36</f>
        <v>2033</v>
      </c>
      <c r="K657" s="245">
        <f>'Expected NPV &amp; Common Data'!K$36</f>
        <v>2034</v>
      </c>
      <c r="L657" s="245">
        <f>'Expected NPV &amp; Common Data'!L$36</f>
        <v>2035</v>
      </c>
      <c r="M657" s="245">
        <f>'Expected NPV &amp; Common Data'!M$36</f>
        <v>2036</v>
      </c>
      <c r="N657" s="245">
        <f>'Expected NPV &amp; Common Data'!N$36</f>
        <v>2037</v>
      </c>
      <c r="O657" s="245">
        <f>'Expected NPV &amp; Common Data'!O$36</f>
        <v>2038</v>
      </c>
      <c r="P657" s="245">
        <f>'Expected NPV &amp; Common Data'!P$36</f>
        <v>2039</v>
      </c>
      <c r="Q657" s="245">
        <f>'Expected NPV &amp; Common Data'!Q$36</f>
        <v>2040</v>
      </c>
      <c r="R657" s="245">
        <f>'Expected NPV &amp; Common Data'!R$36</f>
        <v>2041</v>
      </c>
      <c r="S657" s="245">
        <f>'Expected NPV &amp; Common Data'!S$36</f>
        <v>2042</v>
      </c>
      <c r="T657" s="245">
        <f>'Expected NPV &amp; Common Data'!T$36</f>
        <v>2043</v>
      </c>
      <c r="U657" s="245">
        <f>'Expected NPV &amp; Common Data'!U$36</f>
        <v>2044</v>
      </c>
      <c r="V657" s="245">
        <f>'Expected NPV &amp; Common Data'!V$36</f>
        <v>2045</v>
      </c>
      <c r="W657" s="245">
        <f>'Expected NPV &amp; Common Data'!W$36</f>
        <v>2046</v>
      </c>
      <c r="X657" s="245">
        <f>'Expected NPV &amp; Common Data'!X$36</f>
        <v>2047</v>
      </c>
      <c r="Y657" s="245">
        <f>'Expected NPV &amp; Common Data'!Y$36</f>
        <v>2048</v>
      </c>
      <c r="Z657" s="245">
        <f>'Expected NPV &amp; Common Data'!Z$36</f>
        <v>2049</v>
      </c>
      <c r="AA657" s="245">
        <f>'Expected NPV &amp; Common Data'!AA$36</f>
        <v>2050</v>
      </c>
      <c r="AB657" s="245">
        <f>'Expected NPV &amp; Common Data'!AB$36</f>
        <v>2051</v>
      </c>
      <c r="AC657" s="245">
        <f>'Expected NPV &amp; Common Data'!AC$36</f>
        <v>2052</v>
      </c>
      <c r="AD657" s="245">
        <f>'Expected NPV &amp; Common Data'!AD$36</f>
        <v>2053</v>
      </c>
    </row>
    <row r="658" spans="1:30" s="32" customFormat="1" ht="53.25" customHeight="1">
      <c r="A658" s="21" t="s">
        <v>15</v>
      </c>
      <c r="B658" s="297"/>
      <c r="C658" s="298"/>
      <c r="D658" s="299"/>
      <c r="F658" s="33"/>
      <c r="G658" s="33"/>
      <c r="H658" s="33"/>
      <c r="I658" s="33"/>
      <c r="J658" s="33"/>
      <c r="K658" s="33"/>
      <c r="L658" s="33"/>
      <c r="M658" s="33"/>
      <c r="N658" s="33"/>
      <c r="O658" s="33"/>
      <c r="P658" s="33"/>
      <c r="Q658" s="33"/>
      <c r="R658" s="33"/>
      <c r="S658" s="33"/>
      <c r="T658" s="33"/>
      <c r="U658" s="33"/>
      <c r="V658" s="33"/>
      <c r="W658" s="33"/>
      <c r="X658" s="33"/>
      <c r="Y658" s="33"/>
      <c r="Z658" s="33"/>
      <c r="AA658" s="33"/>
      <c r="AB658" s="33"/>
      <c r="AC658" s="33"/>
      <c r="AD658" s="33"/>
    </row>
    <row r="659" spans="1:30" s="65" customFormat="1" outlineLevel="1">
      <c r="A659" s="282" t="s">
        <v>590</v>
      </c>
      <c r="B659" s="52"/>
      <c r="C659" s="54"/>
      <c r="D659" s="54"/>
      <c r="E659" s="54"/>
      <c r="F659" s="54"/>
      <c r="G659" s="54"/>
      <c r="H659" s="54"/>
      <c r="I659" s="54"/>
      <c r="J659" s="54"/>
      <c r="K659" s="54"/>
      <c r="L659" s="54"/>
      <c r="M659" s="54"/>
      <c r="N659" s="54"/>
      <c r="O659" s="54"/>
      <c r="P659" s="54"/>
      <c r="Q659" s="54"/>
      <c r="R659" s="54"/>
      <c r="S659" s="54"/>
      <c r="T659" s="54"/>
      <c r="U659" s="54"/>
      <c r="V659" s="54"/>
      <c r="W659" s="54"/>
      <c r="X659" s="54"/>
      <c r="Y659" s="54"/>
      <c r="Z659" s="54"/>
      <c r="AA659" s="54"/>
      <c r="AB659" s="54"/>
      <c r="AC659" s="54"/>
      <c r="AD659" s="54"/>
    </row>
    <row r="660" spans="1:30" ht="54" customHeight="1">
      <c r="A660" s="23" t="s">
        <v>399</v>
      </c>
      <c r="D660" s="15"/>
      <c r="F660" s="15"/>
      <c r="G660" s="15"/>
      <c r="H660" s="15"/>
      <c r="I660" s="15"/>
      <c r="J660" s="15"/>
      <c r="K660" s="15"/>
      <c r="L660" s="15"/>
      <c r="M660" s="15"/>
      <c r="N660" s="15"/>
      <c r="O660" s="15"/>
      <c r="P660" s="15"/>
      <c r="Q660" s="15"/>
      <c r="R660" s="15"/>
      <c r="S660" s="15"/>
      <c r="T660" s="15"/>
      <c r="U660" s="15"/>
      <c r="V660" s="15"/>
      <c r="W660" s="15"/>
      <c r="X660" s="15"/>
      <c r="Y660" s="15"/>
      <c r="Z660" s="15"/>
      <c r="AA660" s="15"/>
      <c r="AB660" s="15"/>
      <c r="AC660" s="15"/>
      <c r="AD660" s="15"/>
    </row>
    <row r="661" spans="1:30" customFormat="1" ht="15.5" outlineLevel="1">
      <c r="A661" s="1" t="s">
        <v>160</v>
      </c>
      <c r="C661" s="3"/>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row>
    <row r="662" spans="1:30" s="45" customFormat="1" outlineLevel="1">
      <c r="A662" s="305" t="str">
        <f>'Expected NPV &amp; Common Data'!A75</f>
        <v>2025 10 31 State Royalty website: Royalties are designed to encourage copper concentrate to be processed into metal locally.  Royalties for copper concentrates depend on metal prices on LME in Real terms and are levied at point of sale after product logistics.</v>
      </c>
      <c r="C662" s="42"/>
      <c r="D662" s="42"/>
      <c r="E662" s="42"/>
      <c r="F662" s="42"/>
      <c r="G662" s="42"/>
      <c r="H662" s="42"/>
      <c r="I662" s="42"/>
      <c r="J662" s="42"/>
      <c r="K662" s="42"/>
      <c r="L662" s="42"/>
      <c r="M662" s="42"/>
      <c r="N662" s="42"/>
      <c r="O662" s="42"/>
      <c r="P662" s="42"/>
      <c r="Q662" s="42"/>
      <c r="R662" s="42"/>
      <c r="S662" s="42"/>
      <c r="T662" s="42"/>
      <c r="U662" s="42"/>
      <c r="V662" s="42"/>
      <c r="W662" s="42"/>
      <c r="X662" s="42"/>
      <c r="Y662" s="42"/>
      <c r="Z662" s="42"/>
      <c r="AA662" s="42"/>
      <c r="AB662" s="42"/>
      <c r="AC662" s="42"/>
      <c r="AD662" s="42"/>
    </row>
    <row r="663" spans="1:30" s="45" customFormat="1" outlineLevel="1">
      <c r="A663" s="45" t="str">
        <f>A323</f>
        <v>copper revenue after TC/RC in A$</v>
      </c>
      <c r="B663" s="45" t="str">
        <f>B323</f>
        <v>A$ million Real</v>
      </c>
      <c r="C663" s="42">
        <f t="shared" ref="C663:C665" si="278">SUM(D663:AD663)</f>
        <v>8388.3024499181411</v>
      </c>
      <c r="D663" s="42">
        <f t="shared" ref="D663:AD663" si="279">D323</f>
        <v>0</v>
      </c>
      <c r="E663" s="42">
        <f t="shared" si="279"/>
        <v>0</v>
      </c>
      <c r="F663" s="42">
        <f t="shared" si="279"/>
        <v>295.63630618460064</v>
      </c>
      <c r="G663" s="42">
        <f t="shared" si="279"/>
        <v>555.50862994832039</v>
      </c>
      <c r="H663" s="42">
        <f t="shared" si="279"/>
        <v>596.94943497569034</v>
      </c>
      <c r="I663" s="42">
        <f t="shared" si="279"/>
        <v>596.94943497569034</v>
      </c>
      <c r="J663" s="42">
        <f t="shared" si="279"/>
        <v>621.35977218359301</v>
      </c>
      <c r="K663" s="42">
        <f t="shared" si="279"/>
        <v>561.37467997502586</v>
      </c>
      <c r="L663" s="42">
        <f t="shared" si="279"/>
        <v>562.79101854452324</v>
      </c>
      <c r="M663" s="42">
        <f t="shared" si="279"/>
        <v>565.93907471721263</v>
      </c>
      <c r="N663" s="42">
        <f t="shared" si="279"/>
        <v>565.93907471721263</v>
      </c>
      <c r="O663" s="42">
        <f t="shared" si="279"/>
        <v>565.93907471721263</v>
      </c>
      <c r="P663" s="42">
        <f t="shared" si="279"/>
        <v>568.1581962815676</v>
      </c>
      <c r="Q663" s="42">
        <f t="shared" si="279"/>
        <v>547.17115513030524</v>
      </c>
      <c r="R663" s="42">
        <f t="shared" si="279"/>
        <v>542.68130452335481</v>
      </c>
      <c r="S663" s="42">
        <f t="shared" si="279"/>
        <v>542.68130452335481</v>
      </c>
      <c r="T663" s="42">
        <f t="shared" si="279"/>
        <v>699.22398852047638</v>
      </c>
      <c r="U663" s="42">
        <f t="shared" si="279"/>
        <v>0</v>
      </c>
      <c r="V663" s="42">
        <f t="shared" si="279"/>
        <v>0</v>
      </c>
      <c r="W663" s="42">
        <f t="shared" si="279"/>
        <v>0</v>
      </c>
      <c r="X663" s="42">
        <f t="shared" si="279"/>
        <v>0</v>
      </c>
      <c r="Y663" s="42">
        <f t="shared" si="279"/>
        <v>0</v>
      </c>
      <c r="Z663" s="42">
        <f t="shared" si="279"/>
        <v>0</v>
      </c>
      <c r="AA663" s="42">
        <f t="shared" si="279"/>
        <v>0</v>
      </c>
      <c r="AB663" s="42">
        <f t="shared" si="279"/>
        <v>0</v>
      </c>
      <c r="AC663" s="42">
        <f t="shared" si="279"/>
        <v>0</v>
      </c>
      <c r="AD663" s="42">
        <f t="shared" si="279"/>
        <v>0</v>
      </c>
    </row>
    <row r="664" spans="1:30" s="45" customFormat="1" outlineLevel="1">
      <c r="A664" s="45" t="str">
        <f>A624</f>
        <v>product logistics - copper conc</v>
      </c>
      <c r="B664" s="45" t="str">
        <f>B624</f>
        <v>A$ millions Real</v>
      </c>
      <c r="C664" s="42">
        <f t="shared" si="278"/>
        <v>149.97787704475053</v>
      </c>
      <c r="D664" s="42">
        <f t="shared" ref="D664:AD664" si="280">D624</f>
        <v>0</v>
      </c>
      <c r="E664" s="42">
        <f t="shared" si="280"/>
        <v>0</v>
      </c>
      <c r="F664" s="42">
        <f t="shared" si="280"/>
        <v>5.0039517770566899</v>
      </c>
      <c r="G664" s="42">
        <f t="shared" si="280"/>
        <v>9.4724243525354694</v>
      </c>
      <c r="H664" s="42">
        <f t="shared" si="280"/>
        <v>10.254890760258064</v>
      </c>
      <c r="I664" s="42">
        <f t="shared" si="280"/>
        <v>10.331474936677848</v>
      </c>
      <c r="J664" s="42">
        <f t="shared" si="280"/>
        <v>10.834460548430249</v>
      </c>
      <c r="K664" s="42">
        <f t="shared" si="280"/>
        <v>9.8619866242314167</v>
      </c>
      <c r="L664" s="42">
        <f t="shared" si="280"/>
        <v>9.9612579406026196</v>
      </c>
      <c r="M664" s="42">
        <f t="shared" si="280"/>
        <v>10.092531597843294</v>
      </c>
      <c r="N664" s="42">
        <f t="shared" si="280"/>
        <v>10.168840999843233</v>
      </c>
      <c r="O664" s="42">
        <f t="shared" si="280"/>
        <v>10.245913495863173</v>
      </c>
      <c r="P664" s="42">
        <f t="shared" si="280"/>
        <v>10.364237525076863</v>
      </c>
      <c r="Q664" s="42">
        <f t="shared" si="280"/>
        <v>10.057410140265899</v>
      </c>
      <c r="R664" s="42">
        <f t="shared" si="280"/>
        <v>10.051027901135019</v>
      </c>
      <c r="S664" s="42">
        <f t="shared" si="280"/>
        <v>10.127933879071101</v>
      </c>
      <c r="T664" s="42">
        <f t="shared" si="280"/>
        <v>13.149534565859582</v>
      </c>
      <c r="U664" s="42">
        <f t="shared" si="280"/>
        <v>0</v>
      </c>
      <c r="V664" s="42">
        <f t="shared" si="280"/>
        <v>0</v>
      </c>
      <c r="W664" s="42">
        <f t="shared" si="280"/>
        <v>0</v>
      </c>
      <c r="X664" s="42">
        <f t="shared" si="280"/>
        <v>0</v>
      </c>
      <c r="Y664" s="42">
        <f t="shared" si="280"/>
        <v>0</v>
      </c>
      <c r="Z664" s="42">
        <f t="shared" si="280"/>
        <v>0</v>
      </c>
      <c r="AA664" s="42">
        <f t="shared" si="280"/>
        <v>0</v>
      </c>
      <c r="AB664" s="42">
        <f t="shared" si="280"/>
        <v>0</v>
      </c>
      <c r="AC664" s="42">
        <f t="shared" si="280"/>
        <v>0</v>
      </c>
      <c r="AD664" s="42">
        <f t="shared" si="280"/>
        <v>0</v>
      </c>
    </row>
    <row r="665" spans="1:30" s="45" customFormat="1" outlineLevel="1">
      <c r="A665" s="45" t="s">
        <v>389</v>
      </c>
      <c r="B665" s="45" t="s">
        <v>284</v>
      </c>
      <c r="C665" s="42">
        <f t="shared" si="278"/>
        <v>8238.3245728733909</v>
      </c>
      <c r="D665" s="42">
        <f>D663-D664</f>
        <v>0</v>
      </c>
      <c r="E665" s="42">
        <f t="shared" ref="E665:AD665" si="281">E663-E664</f>
        <v>0</v>
      </c>
      <c r="F665" s="42">
        <f t="shared" si="281"/>
        <v>290.63235440754397</v>
      </c>
      <c r="G665" s="42">
        <f t="shared" si="281"/>
        <v>546.03620559578496</v>
      </c>
      <c r="H665" s="42">
        <f t="shared" si="281"/>
        <v>586.6945442154323</v>
      </c>
      <c r="I665" s="42">
        <f t="shared" si="281"/>
        <v>586.61796003901247</v>
      </c>
      <c r="J665" s="42">
        <f t="shared" si="281"/>
        <v>610.52531163516278</v>
      </c>
      <c r="K665" s="42">
        <f t="shared" si="281"/>
        <v>551.51269335079439</v>
      </c>
      <c r="L665" s="42">
        <f t="shared" si="281"/>
        <v>552.82976060392059</v>
      </c>
      <c r="M665" s="42">
        <f t="shared" si="281"/>
        <v>555.84654311936936</v>
      </c>
      <c r="N665" s="42">
        <f t="shared" si="281"/>
        <v>555.77023371736936</v>
      </c>
      <c r="O665" s="42">
        <f t="shared" si="281"/>
        <v>555.69316122134944</v>
      </c>
      <c r="P665" s="42">
        <f t="shared" si="281"/>
        <v>557.79395875649072</v>
      </c>
      <c r="Q665" s="42">
        <f t="shared" si="281"/>
        <v>537.11374499003932</v>
      </c>
      <c r="R665" s="42">
        <f t="shared" si="281"/>
        <v>532.63027662221975</v>
      </c>
      <c r="S665" s="42">
        <f t="shared" si="281"/>
        <v>532.55337064428375</v>
      </c>
      <c r="T665" s="42">
        <f t="shared" si="281"/>
        <v>686.07445395461684</v>
      </c>
      <c r="U665" s="42">
        <f t="shared" si="281"/>
        <v>0</v>
      </c>
      <c r="V665" s="42">
        <f t="shared" si="281"/>
        <v>0</v>
      </c>
      <c r="W665" s="42">
        <f t="shared" si="281"/>
        <v>0</v>
      </c>
      <c r="X665" s="42">
        <f t="shared" si="281"/>
        <v>0</v>
      </c>
      <c r="Y665" s="42">
        <f t="shared" si="281"/>
        <v>0</v>
      </c>
      <c r="Z665" s="42">
        <f t="shared" si="281"/>
        <v>0</v>
      </c>
      <c r="AA665" s="42">
        <f t="shared" si="281"/>
        <v>0</v>
      </c>
      <c r="AB665" s="42">
        <f t="shared" si="281"/>
        <v>0</v>
      </c>
      <c r="AC665" s="42">
        <f t="shared" si="281"/>
        <v>0</v>
      </c>
      <c r="AD665" s="42">
        <f t="shared" si="281"/>
        <v>0</v>
      </c>
    </row>
    <row r="666" spans="1:30" s="45" customFormat="1" ht="12" customHeight="1" outlineLevel="1">
      <c r="A666" s="167" t="s">
        <v>458</v>
      </c>
      <c r="C666" s="42"/>
      <c r="D666" s="42"/>
      <c r="E666" s="42"/>
      <c r="F666" s="42"/>
      <c r="G666" s="42"/>
      <c r="H666" s="42"/>
      <c r="I666" s="42"/>
      <c r="J666" s="42"/>
      <c r="K666" s="42"/>
      <c r="L666" s="42"/>
      <c r="M666" s="42"/>
      <c r="N666" s="42"/>
      <c r="O666" s="42"/>
      <c r="P666" s="42"/>
      <c r="Q666" s="42"/>
      <c r="R666" s="42"/>
      <c r="S666" s="42"/>
      <c r="T666" s="42"/>
      <c r="U666" s="42"/>
      <c r="V666" s="42"/>
      <c r="W666" s="42"/>
      <c r="X666" s="42"/>
      <c r="Y666" s="42"/>
      <c r="Z666" s="42"/>
      <c r="AA666" s="42"/>
      <c r="AB666" s="42"/>
      <c r="AC666" s="42"/>
      <c r="AD666" s="42"/>
    </row>
    <row r="667" spans="1:30" outlineLevel="1">
      <c r="A667" s="247" t="str">
        <f>'Expected NPV &amp; Common Data'!A76</f>
        <v>State copper royalty</v>
      </c>
      <c r="B667" s="247" t="str">
        <f>'Expected NPV &amp; Common Data'!B76</f>
        <v>%</v>
      </c>
      <c r="C667" s="262"/>
      <c r="D667" s="262">
        <f>'Expected NPV &amp; Common Data'!D76</f>
        <v>0.06</v>
      </c>
      <c r="E667" s="262">
        <f>'Expected NPV &amp; Common Data'!E76</f>
        <v>0.06</v>
      </c>
      <c r="F667" s="262">
        <f>'Expected NPV &amp; Common Data'!F76</f>
        <v>0.06</v>
      </c>
      <c r="G667" s="262">
        <f>'Expected NPV &amp; Common Data'!G76</f>
        <v>0.06</v>
      </c>
      <c r="H667" s="262">
        <f>'Expected NPV &amp; Common Data'!H76</f>
        <v>0.06</v>
      </c>
      <c r="I667" s="262">
        <f>'Expected NPV &amp; Common Data'!I76</f>
        <v>0.06</v>
      </c>
      <c r="J667" s="262">
        <f>'Expected NPV &amp; Common Data'!J76</f>
        <v>0.06</v>
      </c>
      <c r="K667" s="262">
        <f>'Expected NPV &amp; Common Data'!K76</f>
        <v>0.06</v>
      </c>
      <c r="L667" s="262">
        <f>'Expected NPV &amp; Common Data'!L76</f>
        <v>0.06</v>
      </c>
      <c r="M667" s="262">
        <f>'Expected NPV &amp; Common Data'!M76</f>
        <v>0.06</v>
      </c>
      <c r="N667" s="262">
        <f>'Expected NPV &amp; Common Data'!N76</f>
        <v>0.06</v>
      </c>
      <c r="O667" s="262">
        <f>'Expected NPV &amp; Common Data'!O76</f>
        <v>0.06</v>
      </c>
      <c r="P667" s="262">
        <f>'Expected NPV &amp; Common Data'!P76</f>
        <v>0.06</v>
      </c>
      <c r="Q667" s="262">
        <f>'Expected NPV &amp; Common Data'!Q76</f>
        <v>0.06</v>
      </c>
      <c r="R667" s="262">
        <f>'Expected NPV &amp; Common Data'!R76</f>
        <v>0.06</v>
      </c>
      <c r="S667" s="262">
        <f>'Expected NPV &amp; Common Data'!S76</f>
        <v>0.06</v>
      </c>
      <c r="T667" s="262">
        <f>'Expected NPV &amp; Common Data'!T76</f>
        <v>0.06</v>
      </c>
      <c r="U667" s="262">
        <f>'Expected NPV &amp; Common Data'!U76</f>
        <v>0.06</v>
      </c>
      <c r="V667" s="262">
        <f>'Expected NPV &amp; Common Data'!V76</f>
        <v>0.06</v>
      </c>
      <c r="W667" s="262">
        <f>'Expected NPV &amp; Common Data'!W76</f>
        <v>0.06</v>
      </c>
      <c r="X667" s="262">
        <f>'Expected NPV &amp; Common Data'!X76</f>
        <v>0.06</v>
      </c>
      <c r="Y667" s="262">
        <f>'Expected NPV &amp; Common Data'!Y76</f>
        <v>0.06</v>
      </c>
      <c r="Z667" s="262">
        <f>'Expected NPV &amp; Common Data'!Z76</f>
        <v>0.06</v>
      </c>
      <c r="AA667" s="262">
        <f>'Expected NPV &amp; Common Data'!AA76</f>
        <v>0.06</v>
      </c>
      <c r="AB667" s="262">
        <f>'Expected NPV &amp; Common Data'!AB76</f>
        <v>0.06</v>
      </c>
      <c r="AC667" s="262">
        <f>'Expected NPV &amp; Common Data'!AC76</f>
        <v>0.06</v>
      </c>
      <c r="AD667" s="262">
        <f>'Expected NPV &amp; Common Data'!AD76</f>
        <v>0.06</v>
      </c>
    </row>
    <row r="668" spans="1:30" outlineLevel="1">
      <c r="A668" s="247" t="str">
        <f>'Expected NPV &amp; Common Data'!A77</f>
        <v xml:space="preserve">Copper price on LME </v>
      </c>
      <c r="B668" s="247" t="str">
        <f>'Expected NPV &amp; Common Data'!B77</f>
        <v>US$/tonne Cu in 2015 Real terms</v>
      </c>
      <c r="C668" s="300">
        <f>'Expected NPV &amp; Common Data'!C77</f>
        <v>2.041742286751361</v>
      </c>
      <c r="D668" s="248">
        <f>'Expected NPV &amp; Common Data'!D77</f>
        <v>4500</v>
      </c>
      <c r="E668" s="248">
        <f>'Expected NPV &amp; Common Data'!E77</f>
        <v>4500</v>
      </c>
      <c r="F668" s="248">
        <f>'Expected NPV &amp; Common Data'!F77</f>
        <v>4500</v>
      </c>
      <c r="G668" s="248">
        <f>'Expected NPV &amp; Common Data'!G77</f>
        <v>4500</v>
      </c>
      <c r="H668" s="248">
        <f>'Expected NPV &amp; Common Data'!H77</f>
        <v>4500</v>
      </c>
      <c r="I668" s="248">
        <f>'Expected NPV &amp; Common Data'!I77</f>
        <v>4500</v>
      </c>
      <c r="J668" s="248">
        <f>'Expected NPV &amp; Common Data'!J77</f>
        <v>4500</v>
      </c>
      <c r="K668" s="248">
        <f>'Expected NPV &amp; Common Data'!K77</f>
        <v>4500</v>
      </c>
      <c r="L668" s="248">
        <f>'Expected NPV &amp; Common Data'!L77</f>
        <v>4500</v>
      </c>
      <c r="M668" s="248">
        <f>'Expected NPV &amp; Common Data'!M77</f>
        <v>4500</v>
      </c>
      <c r="N668" s="248">
        <f>'Expected NPV &amp; Common Data'!N77</f>
        <v>4500</v>
      </c>
      <c r="O668" s="248">
        <f>'Expected NPV &amp; Common Data'!O77</f>
        <v>4500</v>
      </c>
      <c r="P668" s="248">
        <f>'Expected NPV &amp; Common Data'!P77</f>
        <v>4500</v>
      </c>
      <c r="Q668" s="248">
        <f>'Expected NPV &amp; Common Data'!Q77</f>
        <v>4500</v>
      </c>
      <c r="R668" s="248">
        <f>'Expected NPV &amp; Common Data'!R77</f>
        <v>4500</v>
      </c>
      <c r="S668" s="248">
        <f>'Expected NPV &amp; Common Data'!S77</f>
        <v>4500</v>
      </c>
      <c r="T668" s="248">
        <f>'Expected NPV &amp; Common Data'!T77</f>
        <v>4500</v>
      </c>
      <c r="U668" s="248">
        <f>'Expected NPV &amp; Common Data'!U77</f>
        <v>4500</v>
      </c>
      <c r="V668" s="248">
        <f>'Expected NPV &amp; Common Data'!V77</f>
        <v>4500</v>
      </c>
      <c r="W668" s="248">
        <f>'Expected NPV &amp; Common Data'!W77</f>
        <v>4500</v>
      </c>
      <c r="X668" s="248">
        <f>'Expected NPV &amp; Common Data'!X77</f>
        <v>4500</v>
      </c>
      <c r="Y668" s="248">
        <f>'Expected NPV &amp; Common Data'!Y77</f>
        <v>4500</v>
      </c>
      <c r="Z668" s="248">
        <f>'Expected NPV &amp; Common Data'!Z77</f>
        <v>4500</v>
      </c>
      <c r="AA668" s="248">
        <f>'Expected NPV &amp; Common Data'!AA77</f>
        <v>4500</v>
      </c>
      <c r="AB668" s="248">
        <f>'Expected NPV &amp; Common Data'!AB77</f>
        <v>4500</v>
      </c>
      <c r="AC668" s="248">
        <f>'Expected NPV &amp; Common Data'!AC77</f>
        <v>4500</v>
      </c>
      <c r="AD668" s="248">
        <f>'Expected NPV &amp; Common Data'!AD77</f>
        <v>4500</v>
      </c>
    </row>
    <row r="669" spans="1:30" outlineLevel="1">
      <c r="A669" s="247" t="str">
        <f>'Expected NPV &amp; Common Data'!A78</f>
        <v>State copper royalty</v>
      </c>
      <c r="B669" s="247" t="str">
        <f>'Expected NPV &amp; Common Data'!B78</f>
        <v>%</v>
      </c>
      <c r="C669" s="262"/>
      <c r="D669" s="262">
        <f>'Expected NPV &amp; Common Data'!D78</f>
        <v>7.0000000000000007E-2</v>
      </c>
      <c r="E669" s="262">
        <f>'Expected NPV &amp; Common Data'!E78</f>
        <v>7.0000000000000007E-2</v>
      </c>
      <c r="F669" s="262">
        <f>'Expected NPV &amp; Common Data'!F78</f>
        <v>7.0000000000000007E-2</v>
      </c>
      <c r="G669" s="262">
        <f>'Expected NPV &amp; Common Data'!G78</f>
        <v>7.0000000000000007E-2</v>
      </c>
      <c r="H669" s="262">
        <f>'Expected NPV &amp; Common Data'!H78</f>
        <v>7.0000000000000007E-2</v>
      </c>
      <c r="I669" s="262">
        <f>'Expected NPV &amp; Common Data'!I78</f>
        <v>7.0000000000000007E-2</v>
      </c>
      <c r="J669" s="262">
        <f>'Expected NPV &amp; Common Data'!J78</f>
        <v>7.0000000000000007E-2</v>
      </c>
      <c r="K669" s="262">
        <f>'Expected NPV &amp; Common Data'!K78</f>
        <v>7.0000000000000007E-2</v>
      </c>
      <c r="L669" s="262">
        <f>'Expected NPV &amp; Common Data'!L78</f>
        <v>7.0000000000000007E-2</v>
      </c>
      <c r="M669" s="262">
        <f>'Expected NPV &amp; Common Data'!M78</f>
        <v>7.0000000000000007E-2</v>
      </c>
      <c r="N669" s="262">
        <f>'Expected NPV &amp; Common Data'!N78</f>
        <v>7.0000000000000007E-2</v>
      </c>
      <c r="O669" s="262">
        <f>'Expected NPV &amp; Common Data'!O78</f>
        <v>7.0000000000000007E-2</v>
      </c>
      <c r="P669" s="262">
        <f>'Expected NPV &amp; Common Data'!P78</f>
        <v>7.0000000000000007E-2</v>
      </c>
      <c r="Q669" s="262">
        <f>'Expected NPV &amp; Common Data'!Q78</f>
        <v>7.0000000000000007E-2</v>
      </c>
      <c r="R669" s="262">
        <f>'Expected NPV &amp; Common Data'!R78</f>
        <v>7.0000000000000007E-2</v>
      </c>
      <c r="S669" s="262">
        <f>'Expected NPV &amp; Common Data'!S78</f>
        <v>7.0000000000000007E-2</v>
      </c>
      <c r="T669" s="262">
        <f>'Expected NPV &amp; Common Data'!T78</f>
        <v>7.0000000000000007E-2</v>
      </c>
      <c r="U669" s="262">
        <f>'Expected NPV &amp; Common Data'!U78</f>
        <v>7.0000000000000007E-2</v>
      </c>
      <c r="V669" s="262">
        <f>'Expected NPV &amp; Common Data'!V78</f>
        <v>7.0000000000000007E-2</v>
      </c>
      <c r="W669" s="262">
        <f>'Expected NPV &amp; Common Data'!W78</f>
        <v>7.0000000000000007E-2</v>
      </c>
      <c r="X669" s="262">
        <f>'Expected NPV &amp; Common Data'!X78</f>
        <v>7.0000000000000007E-2</v>
      </c>
      <c r="Y669" s="262">
        <f>'Expected NPV &amp; Common Data'!Y78</f>
        <v>7.0000000000000007E-2</v>
      </c>
      <c r="Z669" s="262">
        <f>'Expected NPV &amp; Common Data'!Z78</f>
        <v>7.0000000000000007E-2</v>
      </c>
      <c r="AA669" s="262">
        <f>'Expected NPV &amp; Common Data'!AA78</f>
        <v>7.0000000000000007E-2</v>
      </c>
      <c r="AB669" s="262">
        <f>'Expected NPV &amp; Common Data'!AB78</f>
        <v>7.0000000000000007E-2</v>
      </c>
      <c r="AC669" s="262">
        <f>'Expected NPV &amp; Common Data'!AC78</f>
        <v>7.0000000000000007E-2</v>
      </c>
      <c r="AD669" s="262">
        <f>'Expected NPV &amp; Common Data'!AD78</f>
        <v>7.0000000000000007E-2</v>
      </c>
    </row>
    <row r="670" spans="1:30" outlineLevel="1">
      <c r="A670" s="247" t="str">
        <f>'Expected NPV &amp; Common Data'!A79</f>
        <v>Copper price on LME</v>
      </c>
      <c r="B670" s="247" t="str">
        <f>'Expected NPV &amp; Common Data'!B79</f>
        <v>US$/tonne Cu in 2015 Real terms</v>
      </c>
      <c r="C670" s="300">
        <f>'Expected NPV &amp; Common Data'!C79</f>
        <v>2.9945553539019962</v>
      </c>
      <c r="D670" s="248">
        <f>'Expected NPV &amp; Common Data'!D79</f>
        <v>6600</v>
      </c>
      <c r="E670" s="248">
        <f>'Expected NPV &amp; Common Data'!E79</f>
        <v>6600</v>
      </c>
      <c r="F670" s="248">
        <f>'Expected NPV &amp; Common Data'!F79</f>
        <v>6600</v>
      </c>
      <c r="G670" s="248">
        <f>'Expected NPV &amp; Common Data'!G79</f>
        <v>6600</v>
      </c>
      <c r="H670" s="248">
        <f>'Expected NPV &amp; Common Data'!H79</f>
        <v>6600</v>
      </c>
      <c r="I670" s="248">
        <f>'Expected NPV &amp; Common Data'!I79</f>
        <v>6600</v>
      </c>
      <c r="J670" s="248">
        <f>'Expected NPV &amp; Common Data'!J79</f>
        <v>6600</v>
      </c>
      <c r="K670" s="248">
        <f>'Expected NPV &amp; Common Data'!K79</f>
        <v>6600</v>
      </c>
      <c r="L670" s="248">
        <f>'Expected NPV &amp; Common Data'!L79</f>
        <v>6600</v>
      </c>
      <c r="M670" s="248">
        <f>'Expected NPV &amp; Common Data'!M79</f>
        <v>6600</v>
      </c>
      <c r="N670" s="248">
        <f>'Expected NPV &amp; Common Data'!N79</f>
        <v>6600</v>
      </c>
      <c r="O670" s="248">
        <f>'Expected NPV &amp; Common Data'!O79</f>
        <v>6600</v>
      </c>
      <c r="P670" s="248">
        <f>'Expected NPV &amp; Common Data'!P79</f>
        <v>6600</v>
      </c>
      <c r="Q670" s="248">
        <f>'Expected NPV &amp; Common Data'!Q79</f>
        <v>6600</v>
      </c>
      <c r="R670" s="248">
        <f>'Expected NPV &amp; Common Data'!R79</f>
        <v>6600</v>
      </c>
      <c r="S670" s="248">
        <f>'Expected NPV &amp; Common Data'!S79</f>
        <v>6600</v>
      </c>
      <c r="T670" s="248">
        <f>'Expected NPV &amp; Common Data'!T79</f>
        <v>6600</v>
      </c>
      <c r="U670" s="248">
        <f>'Expected NPV &amp; Common Data'!U79</f>
        <v>6600</v>
      </c>
      <c r="V670" s="248">
        <f>'Expected NPV &amp; Common Data'!V79</f>
        <v>6600</v>
      </c>
      <c r="W670" s="248">
        <f>'Expected NPV &amp; Common Data'!W79</f>
        <v>6600</v>
      </c>
      <c r="X670" s="248">
        <f>'Expected NPV &amp; Common Data'!X79</f>
        <v>6600</v>
      </c>
      <c r="Y670" s="248">
        <f>'Expected NPV &amp; Common Data'!Y79</f>
        <v>6600</v>
      </c>
      <c r="Z670" s="248">
        <f>'Expected NPV &amp; Common Data'!Z79</f>
        <v>6600</v>
      </c>
      <c r="AA670" s="248">
        <f>'Expected NPV &amp; Common Data'!AA79</f>
        <v>6600</v>
      </c>
      <c r="AB670" s="248">
        <f>'Expected NPV &amp; Common Data'!AB79</f>
        <v>6600</v>
      </c>
      <c r="AC670" s="248">
        <f>'Expected NPV &amp; Common Data'!AC79</f>
        <v>6600</v>
      </c>
      <c r="AD670" s="248">
        <f>'Expected NPV &amp; Common Data'!AD79</f>
        <v>6600</v>
      </c>
    </row>
    <row r="671" spans="1:30" outlineLevel="1">
      <c r="A671" s="247" t="str">
        <f>'Expected NPV &amp; Common Data'!A80</f>
        <v>State copper royalty</v>
      </c>
      <c r="B671" s="247" t="str">
        <f>'Expected NPV &amp; Common Data'!B80</f>
        <v>%</v>
      </c>
      <c r="C671" s="262"/>
      <c r="D671" s="262">
        <f>'Expected NPV &amp; Common Data'!D80</f>
        <v>0.08</v>
      </c>
      <c r="E671" s="262">
        <f>'Expected NPV &amp; Common Data'!E80</f>
        <v>0.08</v>
      </c>
      <c r="F671" s="262">
        <f>'Expected NPV &amp; Common Data'!F80</f>
        <v>0.08</v>
      </c>
      <c r="G671" s="262">
        <f>'Expected NPV &amp; Common Data'!G80</f>
        <v>0.08</v>
      </c>
      <c r="H671" s="262">
        <f>'Expected NPV &amp; Common Data'!H80</f>
        <v>0.08</v>
      </c>
      <c r="I671" s="262">
        <f>'Expected NPV &amp; Common Data'!I80</f>
        <v>0.08</v>
      </c>
      <c r="J671" s="262">
        <f>'Expected NPV &amp; Common Data'!J80</f>
        <v>0.08</v>
      </c>
      <c r="K671" s="262">
        <f>'Expected NPV &amp; Common Data'!K80</f>
        <v>0.08</v>
      </c>
      <c r="L671" s="262">
        <f>'Expected NPV &amp; Common Data'!L80</f>
        <v>0.08</v>
      </c>
      <c r="M671" s="262">
        <f>'Expected NPV &amp; Common Data'!M80</f>
        <v>0.08</v>
      </c>
      <c r="N671" s="262">
        <f>'Expected NPV &amp; Common Data'!N80</f>
        <v>0.08</v>
      </c>
      <c r="O671" s="262">
        <f>'Expected NPV &amp; Common Data'!O80</f>
        <v>0.08</v>
      </c>
      <c r="P671" s="262">
        <f>'Expected NPV &amp; Common Data'!P80</f>
        <v>0.08</v>
      </c>
      <c r="Q671" s="262">
        <f>'Expected NPV &amp; Common Data'!Q80</f>
        <v>0.08</v>
      </c>
      <c r="R671" s="262">
        <f>'Expected NPV &amp; Common Data'!R80</f>
        <v>0.08</v>
      </c>
      <c r="S671" s="262">
        <f>'Expected NPV &amp; Common Data'!S80</f>
        <v>0.08</v>
      </c>
      <c r="T671" s="262">
        <f>'Expected NPV &amp; Common Data'!T80</f>
        <v>0.08</v>
      </c>
      <c r="U671" s="262">
        <f>'Expected NPV &amp; Common Data'!U80</f>
        <v>0.08</v>
      </c>
      <c r="V671" s="262">
        <f>'Expected NPV &amp; Common Data'!V80</f>
        <v>0.08</v>
      </c>
      <c r="W671" s="262">
        <f>'Expected NPV &amp; Common Data'!W80</f>
        <v>0.08</v>
      </c>
      <c r="X671" s="262">
        <f>'Expected NPV &amp; Common Data'!X80</f>
        <v>0.08</v>
      </c>
      <c r="Y671" s="262">
        <f>'Expected NPV &amp; Common Data'!Y80</f>
        <v>0.08</v>
      </c>
      <c r="Z671" s="262">
        <f>'Expected NPV &amp; Common Data'!Z80</f>
        <v>0.08</v>
      </c>
      <c r="AA671" s="262">
        <f>'Expected NPV &amp; Common Data'!AA80</f>
        <v>0.08</v>
      </c>
      <c r="AB671" s="262">
        <f>'Expected NPV &amp; Common Data'!AB80</f>
        <v>0.08</v>
      </c>
      <c r="AC671" s="262">
        <f>'Expected NPV &amp; Common Data'!AC80</f>
        <v>0.08</v>
      </c>
      <c r="AD671" s="262">
        <f>'Expected NPV &amp; Common Data'!AD80</f>
        <v>0.08</v>
      </c>
    </row>
    <row r="672" spans="1:30" outlineLevel="1">
      <c r="A672" s="247" t="str">
        <f>'Expected NPV &amp; Common Data'!A81</f>
        <v>Copper price on LME</v>
      </c>
      <c r="B672" s="247" t="str">
        <f>'Expected NPV &amp; Common Data'!B81</f>
        <v>US$/tonne Cu in 2015 Real terms</v>
      </c>
      <c r="C672" s="300">
        <f>'Expected NPV &amp; Common Data'!C81</f>
        <v>3.9927404718693285</v>
      </c>
      <c r="D672" s="248">
        <f>'Expected NPV &amp; Common Data'!D81</f>
        <v>8800</v>
      </c>
      <c r="E672" s="248">
        <f>'Expected NPV &amp; Common Data'!E81</f>
        <v>8800</v>
      </c>
      <c r="F672" s="248">
        <f>'Expected NPV &amp; Common Data'!F81</f>
        <v>8800</v>
      </c>
      <c r="G672" s="248">
        <f>'Expected NPV &amp; Common Data'!G81</f>
        <v>8800</v>
      </c>
      <c r="H672" s="248">
        <f>'Expected NPV &amp; Common Data'!H81</f>
        <v>8800</v>
      </c>
      <c r="I672" s="248">
        <f>'Expected NPV &amp; Common Data'!I81</f>
        <v>8800</v>
      </c>
      <c r="J672" s="248">
        <f>'Expected NPV &amp; Common Data'!J81</f>
        <v>8800</v>
      </c>
      <c r="K672" s="248">
        <f>'Expected NPV &amp; Common Data'!K81</f>
        <v>8800</v>
      </c>
      <c r="L672" s="248">
        <f>'Expected NPV &amp; Common Data'!L81</f>
        <v>8800</v>
      </c>
      <c r="M672" s="248">
        <f>'Expected NPV &amp; Common Data'!M81</f>
        <v>8800</v>
      </c>
      <c r="N672" s="248">
        <f>'Expected NPV &amp; Common Data'!N81</f>
        <v>8800</v>
      </c>
      <c r="O672" s="248">
        <f>'Expected NPV &amp; Common Data'!O81</f>
        <v>8800</v>
      </c>
      <c r="P672" s="248">
        <f>'Expected NPV &amp; Common Data'!P81</f>
        <v>8800</v>
      </c>
      <c r="Q672" s="248">
        <f>'Expected NPV &amp; Common Data'!Q81</f>
        <v>8800</v>
      </c>
      <c r="R672" s="248">
        <f>'Expected NPV &amp; Common Data'!R81</f>
        <v>8800</v>
      </c>
      <c r="S672" s="248">
        <f>'Expected NPV &amp; Common Data'!S81</f>
        <v>8800</v>
      </c>
      <c r="T672" s="248">
        <f>'Expected NPV &amp; Common Data'!T81</f>
        <v>8800</v>
      </c>
      <c r="U672" s="248">
        <f>'Expected NPV &amp; Common Data'!U81</f>
        <v>8800</v>
      </c>
      <c r="V672" s="248">
        <f>'Expected NPV &amp; Common Data'!V81</f>
        <v>8800</v>
      </c>
      <c r="W672" s="248">
        <f>'Expected NPV &amp; Common Data'!W81</f>
        <v>8800</v>
      </c>
      <c r="X672" s="248">
        <f>'Expected NPV &amp; Common Data'!X81</f>
        <v>8800</v>
      </c>
      <c r="Y672" s="248">
        <f>'Expected NPV &amp; Common Data'!Y81</f>
        <v>8800</v>
      </c>
      <c r="Z672" s="248">
        <f>'Expected NPV &amp; Common Data'!Z81</f>
        <v>8800</v>
      </c>
      <c r="AA672" s="248">
        <f>'Expected NPV &amp; Common Data'!AA81</f>
        <v>8800</v>
      </c>
      <c r="AB672" s="248">
        <f>'Expected NPV &amp; Common Data'!AB81</f>
        <v>8800</v>
      </c>
      <c r="AC672" s="248">
        <f>'Expected NPV &amp; Common Data'!AC81</f>
        <v>8800</v>
      </c>
      <c r="AD672" s="248">
        <f>'Expected NPV &amp; Common Data'!AD81</f>
        <v>8800</v>
      </c>
    </row>
    <row r="673" spans="1:30" outlineLevel="1">
      <c r="A673" s="247" t="str">
        <f>'Expected NPV &amp; Common Data'!A82</f>
        <v>State copper royalty</v>
      </c>
      <c r="B673" s="247" t="str">
        <f>'Expected NPV &amp; Common Data'!B82</f>
        <v>%</v>
      </c>
      <c r="C673" s="262"/>
      <c r="D673" s="262">
        <f>'Expected NPV &amp; Common Data'!D82</f>
        <v>0.09</v>
      </c>
      <c r="E673" s="262">
        <f>'Expected NPV &amp; Common Data'!E82</f>
        <v>0.09</v>
      </c>
      <c r="F673" s="262">
        <f>'Expected NPV &amp; Common Data'!F82</f>
        <v>0.09</v>
      </c>
      <c r="G673" s="262">
        <f>'Expected NPV &amp; Common Data'!G82</f>
        <v>0.09</v>
      </c>
      <c r="H673" s="262">
        <f>'Expected NPV &amp; Common Data'!H82</f>
        <v>0.09</v>
      </c>
      <c r="I673" s="262">
        <f>'Expected NPV &amp; Common Data'!I82</f>
        <v>0.09</v>
      </c>
      <c r="J673" s="262">
        <f>'Expected NPV &amp; Common Data'!J82</f>
        <v>0.09</v>
      </c>
      <c r="K673" s="262">
        <f>'Expected NPV &amp; Common Data'!K82</f>
        <v>0.09</v>
      </c>
      <c r="L673" s="262">
        <f>'Expected NPV &amp; Common Data'!L82</f>
        <v>0.09</v>
      </c>
      <c r="M673" s="262">
        <f>'Expected NPV &amp; Common Data'!M82</f>
        <v>0.09</v>
      </c>
      <c r="N673" s="262">
        <f>'Expected NPV &amp; Common Data'!N82</f>
        <v>0.09</v>
      </c>
      <c r="O673" s="262">
        <f>'Expected NPV &amp; Common Data'!O82</f>
        <v>0.09</v>
      </c>
      <c r="P673" s="262">
        <f>'Expected NPV &amp; Common Data'!P82</f>
        <v>0.09</v>
      </c>
      <c r="Q673" s="262">
        <f>'Expected NPV &amp; Common Data'!Q82</f>
        <v>0.09</v>
      </c>
      <c r="R673" s="262">
        <f>'Expected NPV &amp; Common Data'!R82</f>
        <v>0.09</v>
      </c>
      <c r="S673" s="262">
        <f>'Expected NPV &amp; Common Data'!S82</f>
        <v>0.09</v>
      </c>
      <c r="T673" s="262">
        <f>'Expected NPV &amp; Common Data'!T82</f>
        <v>0.09</v>
      </c>
      <c r="U673" s="262">
        <f>'Expected NPV &amp; Common Data'!U82</f>
        <v>0.09</v>
      </c>
      <c r="V673" s="262">
        <f>'Expected NPV &amp; Common Data'!V82</f>
        <v>0.09</v>
      </c>
      <c r="W673" s="262">
        <f>'Expected NPV &amp; Common Data'!W82</f>
        <v>0.09</v>
      </c>
      <c r="X673" s="262">
        <f>'Expected NPV &amp; Common Data'!X82</f>
        <v>0.09</v>
      </c>
      <c r="Y673" s="262">
        <f>'Expected NPV &amp; Common Data'!Y82</f>
        <v>0.09</v>
      </c>
      <c r="Z673" s="262">
        <f>'Expected NPV &amp; Common Data'!Z82</f>
        <v>0.09</v>
      </c>
      <c r="AA673" s="262">
        <f>'Expected NPV &amp; Common Data'!AA82</f>
        <v>0.09</v>
      </c>
      <c r="AB673" s="262">
        <f>'Expected NPV &amp; Common Data'!AB82</f>
        <v>0.09</v>
      </c>
      <c r="AC673" s="262">
        <f>'Expected NPV &amp; Common Data'!AC82</f>
        <v>0.09</v>
      </c>
      <c r="AD673" s="262">
        <f>'Expected NPV &amp; Common Data'!AD82</f>
        <v>0.09</v>
      </c>
    </row>
    <row r="674" spans="1:30" outlineLevel="1">
      <c r="A674" s="247" t="str">
        <f>'Expected NPV &amp; Common Data'!A83</f>
        <v>Copper price on LME</v>
      </c>
      <c r="B674" s="247" t="str">
        <f>'Expected NPV &amp; Common Data'!B83</f>
        <v>US$/tonne Cu in 2015 Real terms</v>
      </c>
      <c r="C674" s="300">
        <f>'Expected NPV &amp; Common Data'!C83</f>
        <v>4.9909255898366602</v>
      </c>
      <c r="D674" s="248">
        <f>'Expected NPV &amp; Common Data'!D83</f>
        <v>11000</v>
      </c>
      <c r="E674" s="248">
        <f>'Expected NPV &amp; Common Data'!E83</f>
        <v>11000</v>
      </c>
      <c r="F674" s="248">
        <f>'Expected NPV &amp; Common Data'!F83</f>
        <v>11000</v>
      </c>
      <c r="G674" s="248">
        <f>'Expected NPV &amp; Common Data'!G83</f>
        <v>11000</v>
      </c>
      <c r="H674" s="248">
        <f>'Expected NPV &amp; Common Data'!H83</f>
        <v>11000</v>
      </c>
      <c r="I674" s="248">
        <f>'Expected NPV &amp; Common Data'!I83</f>
        <v>11000</v>
      </c>
      <c r="J674" s="248">
        <f>'Expected NPV &amp; Common Data'!J83</f>
        <v>11000</v>
      </c>
      <c r="K674" s="248">
        <f>'Expected NPV &amp; Common Data'!K83</f>
        <v>11000</v>
      </c>
      <c r="L674" s="248">
        <f>'Expected NPV &amp; Common Data'!L83</f>
        <v>11000</v>
      </c>
      <c r="M674" s="248">
        <f>'Expected NPV &amp; Common Data'!M83</f>
        <v>11000</v>
      </c>
      <c r="N674" s="248">
        <f>'Expected NPV &amp; Common Data'!N83</f>
        <v>11000</v>
      </c>
      <c r="O674" s="248">
        <f>'Expected NPV &amp; Common Data'!O83</f>
        <v>11000</v>
      </c>
      <c r="P674" s="248">
        <f>'Expected NPV &amp; Common Data'!P83</f>
        <v>11000</v>
      </c>
      <c r="Q674" s="248">
        <f>'Expected NPV &amp; Common Data'!Q83</f>
        <v>11000</v>
      </c>
      <c r="R674" s="248">
        <f>'Expected NPV &amp; Common Data'!R83</f>
        <v>11000</v>
      </c>
      <c r="S674" s="248">
        <f>'Expected NPV &amp; Common Data'!S83</f>
        <v>11000</v>
      </c>
      <c r="T674" s="248">
        <f>'Expected NPV &amp; Common Data'!T83</f>
        <v>11000</v>
      </c>
      <c r="U674" s="248">
        <f>'Expected NPV &amp; Common Data'!U83</f>
        <v>11000</v>
      </c>
      <c r="V674" s="248">
        <f>'Expected NPV &amp; Common Data'!V83</f>
        <v>11000</v>
      </c>
      <c r="W674" s="248">
        <f>'Expected NPV &amp; Common Data'!W83</f>
        <v>11000</v>
      </c>
      <c r="X674" s="248">
        <f>'Expected NPV &amp; Common Data'!X83</f>
        <v>11000</v>
      </c>
      <c r="Y674" s="248">
        <f>'Expected NPV &amp; Common Data'!Y83</f>
        <v>11000</v>
      </c>
      <c r="Z674" s="248">
        <f>'Expected NPV &amp; Common Data'!Z83</f>
        <v>11000</v>
      </c>
      <c r="AA674" s="248">
        <f>'Expected NPV &amp; Common Data'!AA83</f>
        <v>11000</v>
      </c>
      <c r="AB674" s="248">
        <f>'Expected NPV &amp; Common Data'!AB83</f>
        <v>11000</v>
      </c>
      <c r="AC674" s="248">
        <f>'Expected NPV &amp; Common Data'!AC83</f>
        <v>11000</v>
      </c>
      <c r="AD674" s="248">
        <f>'Expected NPV &amp; Common Data'!AD83</f>
        <v>11000</v>
      </c>
    </row>
    <row r="675" spans="1:30" outlineLevel="1">
      <c r="A675" s="247" t="str">
        <f>'Expected NPV &amp; Common Data'!A84</f>
        <v>State copper royalty</v>
      </c>
      <c r="B675" s="247" t="str">
        <f>'Expected NPV &amp; Common Data'!B84</f>
        <v>%</v>
      </c>
      <c r="C675" s="262"/>
      <c r="D675" s="262">
        <f>'Expected NPV &amp; Common Data'!D84</f>
        <v>0.1</v>
      </c>
      <c r="E675" s="262">
        <f>'Expected NPV &amp; Common Data'!E84</f>
        <v>0.1</v>
      </c>
      <c r="F675" s="262">
        <f>'Expected NPV &amp; Common Data'!F84</f>
        <v>0.1</v>
      </c>
      <c r="G675" s="262">
        <f>'Expected NPV &amp; Common Data'!G84</f>
        <v>0.1</v>
      </c>
      <c r="H675" s="262">
        <f>'Expected NPV &amp; Common Data'!H84</f>
        <v>0.1</v>
      </c>
      <c r="I675" s="262">
        <f>'Expected NPV &amp; Common Data'!I84</f>
        <v>0.1</v>
      </c>
      <c r="J675" s="262">
        <f>'Expected NPV &amp; Common Data'!J84</f>
        <v>0.1</v>
      </c>
      <c r="K675" s="262">
        <f>'Expected NPV &amp; Common Data'!K84</f>
        <v>0.1</v>
      </c>
      <c r="L675" s="262">
        <f>'Expected NPV &amp; Common Data'!L84</f>
        <v>0.1</v>
      </c>
      <c r="M675" s="262">
        <f>'Expected NPV &amp; Common Data'!M84</f>
        <v>0.1</v>
      </c>
      <c r="N675" s="262">
        <f>'Expected NPV &amp; Common Data'!N84</f>
        <v>0.1</v>
      </c>
      <c r="O675" s="262">
        <f>'Expected NPV &amp; Common Data'!O84</f>
        <v>0.1</v>
      </c>
      <c r="P675" s="262">
        <f>'Expected NPV &amp; Common Data'!P84</f>
        <v>0.1</v>
      </c>
      <c r="Q675" s="262">
        <f>'Expected NPV &amp; Common Data'!Q84</f>
        <v>0.1</v>
      </c>
      <c r="R675" s="262">
        <f>'Expected NPV &amp; Common Data'!R84</f>
        <v>0.1</v>
      </c>
      <c r="S675" s="262">
        <f>'Expected NPV &amp; Common Data'!S84</f>
        <v>0.1</v>
      </c>
      <c r="T675" s="262">
        <f>'Expected NPV &amp; Common Data'!T84</f>
        <v>0.1</v>
      </c>
      <c r="U675" s="262">
        <f>'Expected NPV &amp; Common Data'!U84</f>
        <v>0.1</v>
      </c>
      <c r="V675" s="262">
        <f>'Expected NPV &amp; Common Data'!V84</f>
        <v>0.1</v>
      </c>
      <c r="W675" s="262">
        <f>'Expected NPV &amp; Common Data'!W84</f>
        <v>0.1</v>
      </c>
      <c r="X675" s="262">
        <f>'Expected NPV &amp; Common Data'!X84</f>
        <v>0.1</v>
      </c>
      <c r="Y675" s="262">
        <f>'Expected NPV &amp; Common Data'!Y84</f>
        <v>0.1</v>
      </c>
      <c r="Z675" s="262">
        <f>'Expected NPV &amp; Common Data'!Z84</f>
        <v>0.1</v>
      </c>
      <c r="AA675" s="262">
        <f>'Expected NPV &amp; Common Data'!AA84</f>
        <v>0.1</v>
      </c>
      <c r="AB675" s="262">
        <f>'Expected NPV &amp; Common Data'!AB84</f>
        <v>0.1</v>
      </c>
      <c r="AC675" s="262">
        <f>'Expected NPV &amp; Common Data'!AC84</f>
        <v>0.1</v>
      </c>
      <c r="AD675" s="262">
        <f>'Expected NPV &amp; Common Data'!AD84</f>
        <v>0.1</v>
      </c>
    </row>
    <row r="676" spans="1:30" outlineLevel="1">
      <c r="A676" s="69" t="str">
        <f>A100</f>
        <v>Copper price forecast - Low Case</v>
      </c>
      <c r="B676" s="13" t="str">
        <f>B100</f>
        <v>US$/ lb real</v>
      </c>
      <c r="C676" s="42"/>
      <c r="D676" s="57">
        <f t="shared" ref="D676:AD676" si="282">D100</f>
        <v>3.5</v>
      </c>
      <c r="E676" s="57">
        <f t="shared" si="282"/>
        <v>3.5</v>
      </c>
      <c r="F676" s="57">
        <f t="shared" si="282"/>
        <v>3.5</v>
      </c>
      <c r="G676" s="57">
        <f t="shared" si="282"/>
        <v>3.5</v>
      </c>
      <c r="H676" s="57">
        <f t="shared" si="282"/>
        <v>3.5</v>
      </c>
      <c r="I676" s="57">
        <f t="shared" si="282"/>
        <v>3.5</v>
      </c>
      <c r="J676" s="57">
        <f t="shared" si="282"/>
        <v>3.5</v>
      </c>
      <c r="K676" s="57">
        <f t="shared" si="282"/>
        <v>3.5</v>
      </c>
      <c r="L676" s="57">
        <f t="shared" si="282"/>
        <v>3.5</v>
      </c>
      <c r="M676" s="57">
        <f t="shared" si="282"/>
        <v>3.5</v>
      </c>
      <c r="N676" s="57">
        <f t="shared" si="282"/>
        <v>3.5</v>
      </c>
      <c r="O676" s="57">
        <f t="shared" si="282"/>
        <v>3.5</v>
      </c>
      <c r="P676" s="57">
        <f t="shared" si="282"/>
        <v>3.5</v>
      </c>
      <c r="Q676" s="57">
        <f t="shared" si="282"/>
        <v>3.5</v>
      </c>
      <c r="R676" s="57">
        <f t="shared" si="282"/>
        <v>3.5</v>
      </c>
      <c r="S676" s="57">
        <f t="shared" si="282"/>
        <v>3.5</v>
      </c>
      <c r="T676" s="57">
        <f t="shared" si="282"/>
        <v>3.5</v>
      </c>
      <c r="U676" s="57">
        <f t="shared" si="282"/>
        <v>3.5</v>
      </c>
      <c r="V676" s="57">
        <f t="shared" si="282"/>
        <v>3.5</v>
      </c>
      <c r="W676" s="57">
        <f t="shared" si="282"/>
        <v>3.5</v>
      </c>
      <c r="X676" s="57">
        <f t="shared" si="282"/>
        <v>3.5</v>
      </c>
      <c r="Y676" s="57">
        <f t="shared" si="282"/>
        <v>3.5</v>
      </c>
      <c r="Z676" s="57">
        <f t="shared" si="282"/>
        <v>3.5</v>
      </c>
      <c r="AA676" s="57">
        <f t="shared" si="282"/>
        <v>3.5</v>
      </c>
      <c r="AB676" s="57">
        <f t="shared" si="282"/>
        <v>3.5</v>
      </c>
      <c r="AC676" s="57">
        <f t="shared" si="282"/>
        <v>3.5</v>
      </c>
      <c r="AD676" s="57">
        <f t="shared" si="282"/>
        <v>3.5</v>
      </c>
    </row>
    <row r="677" spans="1:30" outlineLevel="1">
      <c r="A677" s="45" t="str">
        <f>A676</f>
        <v>Copper price forecast - Low Case</v>
      </c>
      <c r="B677" s="13" t="s">
        <v>161</v>
      </c>
      <c r="D677" s="301">
        <f t="shared" ref="D677:AD677" si="283">D676*2204.6</f>
        <v>7716.0999999999995</v>
      </c>
      <c r="E677" s="301">
        <f t="shared" si="283"/>
        <v>7716.0999999999995</v>
      </c>
      <c r="F677" s="301">
        <f t="shared" si="283"/>
        <v>7716.0999999999995</v>
      </c>
      <c r="G677" s="301">
        <f t="shared" si="283"/>
        <v>7716.0999999999995</v>
      </c>
      <c r="H677" s="301">
        <f t="shared" si="283"/>
        <v>7716.0999999999995</v>
      </c>
      <c r="I677" s="301">
        <f t="shared" si="283"/>
        <v>7716.0999999999995</v>
      </c>
      <c r="J677" s="301">
        <f t="shared" si="283"/>
        <v>7716.0999999999995</v>
      </c>
      <c r="K677" s="301">
        <f t="shared" si="283"/>
        <v>7716.0999999999995</v>
      </c>
      <c r="L677" s="301">
        <f t="shared" si="283"/>
        <v>7716.0999999999995</v>
      </c>
      <c r="M677" s="301">
        <f t="shared" si="283"/>
        <v>7716.0999999999995</v>
      </c>
      <c r="N677" s="301">
        <f t="shared" si="283"/>
        <v>7716.0999999999995</v>
      </c>
      <c r="O677" s="301">
        <f t="shared" si="283"/>
        <v>7716.0999999999995</v>
      </c>
      <c r="P677" s="301">
        <f t="shared" si="283"/>
        <v>7716.0999999999995</v>
      </c>
      <c r="Q677" s="301">
        <f t="shared" si="283"/>
        <v>7716.0999999999995</v>
      </c>
      <c r="R677" s="301">
        <f t="shared" si="283"/>
        <v>7716.0999999999995</v>
      </c>
      <c r="S677" s="301">
        <f t="shared" si="283"/>
        <v>7716.0999999999995</v>
      </c>
      <c r="T677" s="301">
        <f t="shared" si="283"/>
        <v>7716.0999999999995</v>
      </c>
      <c r="U677" s="301">
        <f t="shared" si="283"/>
        <v>7716.0999999999995</v>
      </c>
      <c r="V677" s="301">
        <f t="shared" si="283"/>
        <v>7716.0999999999995</v>
      </c>
      <c r="W677" s="301">
        <f t="shared" si="283"/>
        <v>7716.0999999999995</v>
      </c>
      <c r="X677" s="301">
        <f t="shared" si="283"/>
        <v>7716.0999999999995</v>
      </c>
      <c r="Y677" s="301">
        <f t="shared" si="283"/>
        <v>7716.0999999999995</v>
      </c>
      <c r="Z677" s="301">
        <f t="shared" si="283"/>
        <v>7716.0999999999995</v>
      </c>
      <c r="AA677" s="301">
        <f t="shared" si="283"/>
        <v>7716.0999999999995</v>
      </c>
      <c r="AB677" s="301">
        <f t="shared" si="283"/>
        <v>7716.0999999999995</v>
      </c>
      <c r="AC677" s="301">
        <f t="shared" si="283"/>
        <v>7716.0999999999995</v>
      </c>
      <c r="AD677" s="301">
        <f t="shared" si="283"/>
        <v>7716.0999999999995</v>
      </c>
    </row>
    <row r="678" spans="1:30" outlineLevel="1">
      <c r="A678" s="45" t="s">
        <v>382</v>
      </c>
      <c r="B678" s="13" t="s">
        <v>162</v>
      </c>
      <c r="D678" s="302">
        <f t="shared" ref="D678:AD678" si="284">IF(D677&lt;D668,D667,IF(D677&lt;D670,D669,IF(D677&lt;D672,D671,IF(D677&lt;D674,D673,D675))))</f>
        <v>0.08</v>
      </c>
      <c r="E678" s="302">
        <f t="shared" si="284"/>
        <v>0.08</v>
      </c>
      <c r="F678" s="302">
        <f t="shared" si="284"/>
        <v>0.08</v>
      </c>
      <c r="G678" s="302">
        <f t="shared" si="284"/>
        <v>0.08</v>
      </c>
      <c r="H678" s="302">
        <f t="shared" si="284"/>
        <v>0.08</v>
      </c>
      <c r="I678" s="302">
        <f t="shared" si="284"/>
        <v>0.08</v>
      </c>
      <c r="J678" s="302">
        <f t="shared" si="284"/>
        <v>0.08</v>
      </c>
      <c r="K678" s="302">
        <f t="shared" si="284"/>
        <v>0.08</v>
      </c>
      <c r="L678" s="302">
        <f t="shared" si="284"/>
        <v>0.08</v>
      </c>
      <c r="M678" s="302">
        <f t="shared" si="284"/>
        <v>0.08</v>
      </c>
      <c r="N678" s="302">
        <f t="shared" si="284"/>
        <v>0.08</v>
      </c>
      <c r="O678" s="302">
        <f t="shared" si="284"/>
        <v>0.08</v>
      </c>
      <c r="P678" s="302">
        <f t="shared" si="284"/>
        <v>0.08</v>
      </c>
      <c r="Q678" s="302">
        <f t="shared" si="284"/>
        <v>0.08</v>
      </c>
      <c r="R678" s="302">
        <f t="shared" si="284"/>
        <v>0.08</v>
      </c>
      <c r="S678" s="302">
        <f t="shared" si="284"/>
        <v>0.08</v>
      </c>
      <c r="T678" s="302">
        <f t="shared" si="284"/>
        <v>0.08</v>
      </c>
      <c r="U678" s="302">
        <f t="shared" si="284"/>
        <v>0.08</v>
      </c>
      <c r="V678" s="302">
        <f t="shared" si="284"/>
        <v>0.08</v>
      </c>
      <c r="W678" s="302">
        <f t="shared" si="284"/>
        <v>0.08</v>
      </c>
      <c r="X678" s="302">
        <f t="shared" si="284"/>
        <v>0.08</v>
      </c>
      <c r="Y678" s="302">
        <f t="shared" si="284"/>
        <v>0.08</v>
      </c>
      <c r="Z678" s="302">
        <f t="shared" si="284"/>
        <v>0.08</v>
      </c>
      <c r="AA678" s="302">
        <f t="shared" si="284"/>
        <v>0.08</v>
      </c>
      <c r="AB678" s="302">
        <f t="shared" si="284"/>
        <v>0.08</v>
      </c>
      <c r="AC678" s="302">
        <f t="shared" si="284"/>
        <v>0.08</v>
      </c>
      <c r="AD678" s="302">
        <f t="shared" si="284"/>
        <v>0.08</v>
      </c>
    </row>
    <row r="679" spans="1:30" s="45" customFormat="1" outlineLevel="1">
      <c r="A679" s="59" t="s">
        <v>138</v>
      </c>
      <c r="B679" s="45" t="s">
        <v>284</v>
      </c>
      <c r="C679" s="44">
        <f>SUM(D679:AD679)</f>
        <v>659.06596582987117</v>
      </c>
      <c r="D679" s="55">
        <f t="shared" ref="D679:AD679" si="285">D665*D678</f>
        <v>0</v>
      </c>
      <c r="E679" s="55">
        <f t="shared" si="285"/>
        <v>0</v>
      </c>
      <c r="F679" s="55">
        <f t="shared" si="285"/>
        <v>23.250588352603518</v>
      </c>
      <c r="G679" s="55">
        <f t="shared" si="285"/>
        <v>43.682896447662799</v>
      </c>
      <c r="H679" s="55">
        <f t="shared" si="285"/>
        <v>46.935563537234586</v>
      </c>
      <c r="I679" s="55">
        <f t="shared" si="285"/>
        <v>46.929436803121</v>
      </c>
      <c r="J679" s="55">
        <f t="shared" si="285"/>
        <v>48.842024930813025</v>
      </c>
      <c r="K679" s="55">
        <f t="shared" si="285"/>
        <v>44.121015468063554</v>
      </c>
      <c r="L679" s="55">
        <f t="shared" si="285"/>
        <v>44.226380848313646</v>
      </c>
      <c r="M679" s="55">
        <f t="shared" si="285"/>
        <v>44.467723449549553</v>
      </c>
      <c r="N679" s="55">
        <f t="shared" si="285"/>
        <v>44.461618697389547</v>
      </c>
      <c r="O679" s="55">
        <f t="shared" si="285"/>
        <v>44.455452897707957</v>
      </c>
      <c r="P679" s="55">
        <f t="shared" si="285"/>
        <v>44.623516700519261</v>
      </c>
      <c r="Q679" s="55">
        <f t="shared" si="285"/>
        <v>42.969099599203147</v>
      </c>
      <c r="R679" s="55">
        <f t="shared" si="285"/>
        <v>42.610422129777582</v>
      </c>
      <c r="S679" s="55">
        <f t="shared" si="285"/>
        <v>42.604269651542701</v>
      </c>
      <c r="T679" s="55">
        <f t="shared" si="285"/>
        <v>54.885956316369345</v>
      </c>
      <c r="U679" s="55">
        <f t="shared" si="285"/>
        <v>0</v>
      </c>
      <c r="V679" s="55">
        <f t="shared" si="285"/>
        <v>0</v>
      </c>
      <c r="W679" s="55">
        <f t="shared" si="285"/>
        <v>0</v>
      </c>
      <c r="X679" s="55">
        <f t="shared" si="285"/>
        <v>0</v>
      </c>
      <c r="Y679" s="55">
        <f t="shared" si="285"/>
        <v>0</v>
      </c>
      <c r="Z679" s="55">
        <f t="shared" si="285"/>
        <v>0</v>
      </c>
      <c r="AA679" s="55">
        <f t="shared" si="285"/>
        <v>0</v>
      </c>
      <c r="AB679" s="55">
        <f t="shared" si="285"/>
        <v>0</v>
      </c>
      <c r="AC679" s="55">
        <f t="shared" si="285"/>
        <v>0</v>
      </c>
      <c r="AD679" s="55">
        <f t="shared" si="285"/>
        <v>0</v>
      </c>
    </row>
    <row r="680" spans="1:30" s="45" customFormat="1" outlineLevel="1">
      <c r="A680" s="41"/>
      <c r="C680" s="303"/>
      <c r="D680" s="42"/>
      <c r="E680" s="42"/>
      <c r="F680" s="42"/>
      <c r="G680" s="42"/>
      <c r="H680" s="42"/>
      <c r="I680" s="42"/>
      <c r="J680" s="42"/>
      <c r="K680" s="42"/>
      <c r="L680" s="42"/>
      <c r="M680" s="42"/>
      <c r="N680" s="42"/>
      <c r="O680" s="42"/>
      <c r="P680" s="42"/>
      <c r="Q680" s="42"/>
      <c r="R680" s="42"/>
      <c r="S680" s="42"/>
      <c r="T680" s="42"/>
      <c r="U680" s="42"/>
      <c r="V680" s="42"/>
      <c r="W680" s="42"/>
      <c r="X680" s="42"/>
      <c r="Y680" s="42"/>
      <c r="Z680" s="42"/>
      <c r="AA680" s="42"/>
      <c r="AB680" s="42"/>
      <c r="AC680" s="42"/>
      <c r="AD680" s="42"/>
    </row>
    <row r="681" spans="1:30" customFormat="1" ht="15.5" outlineLevel="1">
      <c r="A681" s="1" t="s">
        <v>165</v>
      </c>
      <c r="C681" s="3"/>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row>
    <row r="682" spans="1:30" s="45" customFormat="1" ht="15" customHeight="1" outlineLevel="1">
      <c r="A682" s="45" t="str">
        <f>A326</f>
        <v>moly revenue in A$</v>
      </c>
      <c r="B682" s="45" t="str">
        <f>B326</f>
        <v>A$ million Real</v>
      </c>
      <c r="C682" s="42">
        <f>SUM(D682:AD682)</f>
        <v>1712.7096479999998</v>
      </c>
      <c r="D682" s="42">
        <f t="shared" ref="D682:AD682" si="286">D326</f>
        <v>0</v>
      </c>
      <c r="E682" s="42">
        <f t="shared" si="286"/>
        <v>0</v>
      </c>
      <c r="F682" s="42">
        <f t="shared" si="286"/>
        <v>106.21606260355028</v>
      </c>
      <c r="G682" s="42">
        <f t="shared" si="286"/>
        <v>209.21640955029585</v>
      </c>
      <c r="H682" s="42">
        <f t="shared" si="286"/>
        <v>230.55706800000002</v>
      </c>
      <c r="I682" s="42">
        <f t="shared" si="286"/>
        <v>230.55706800000002</v>
      </c>
      <c r="J682" s="42">
        <f t="shared" si="286"/>
        <v>239.32720160946741</v>
      </c>
      <c r="K682" s="42">
        <f t="shared" si="286"/>
        <v>160.10366133727811</v>
      </c>
      <c r="L682" s="42">
        <f t="shared" si="286"/>
        <v>107.28796782248521</v>
      </c>
      <c r="M682" s="42">
        <f t="shared" si="286"/>
        <v>98.810172000000009</v>
      </c>
      <c r="N682" s="42">
        <f t="shared" si="286"/>
        <v>98.810172000000009</v>
      </c>
      <c r="O682" s="42">
        <f t="shared" si="286"/>
        <v>98.810172000000009</v>
      </c>
      <c r="P682" s="42">
        <f t="shared" si="286"/>
        <v>133.01369307692309</v>
      </c>
      <c r="Q682" s="42">
        <f t="shared" si="286"/>
        <v>0</v>
      </c>
      <c r="R682" s="42">
        <f t="shared" si="286"/>
        <v>0</v>
      </c>
      <c r="S682" s="42">
        <f t="shared" si="286"/>
        <v>0</v>
      </c>
      <c r="T682" s="42">
        <f t="shared" si="286"/>
        <v>0</v>
      </c>
      <c r="U682" s="42">
        <f t="shared" si="286"/>
        <v>0</v>
      </c>
      <c r="V682" s="42">
        <f t="shared" si="286"/>
        <v>0</v>
      </c>
      <c r="W682" s="42">
        <f t="shared" si="286"/>
        <v>0</v>
      </c>
      <c r="X682" s="42">
        <f t="shared" si="286"/>
        <v>0</v>
      </c>
      <c r="Y682" s="42">
        <f t="shared" si="286"/>
        <v>0</v>
      </c>
      <c r="Z682" s="42">
        <f t="shared" si="286"/>
        <v>0</v>
      </c>
      <c r="AA682" s="42">
        <f t="shared" si="286"/>
        <v>0</v>
      </c>
      <c r="AB682" s="42">
        <f t="shared" si="286"/>
        <v>0</v>
      </c>
      <c r="AC682" s="42">
        <f t="shared" si="286"/>
        <v>0</v>
      </c>
      <c r="AD682" s="42">
        <f t="shared" si="286"/>
        <v>0</v>
      </c>
    </row>
    <row r="683" spans="1:30" ht="12.65" customHeight="1" outlineLevel="1">
      <c r="A683" s="247" t="str">
        <f>'Expected NPV &amp; Common Data'!A87</f>
        <v>State molybdenum royalty</v>
      </c>
      <c r="B683" s="247" t="str">
        <f>'Expected NPV &amp; Common Data'!B87</f>
        <v>%</v>
      </c>
      <c r="C683" s="262"/>
      <c r="D683" s="263">
        <f>'Expected NPV &amp; Common Data'!D87</f>
        <v>0.05</v>
      </c>
      <c r="E683" s="263">
        <f>'Expected NPV &amp; Common Data'!E87</f>
        <v>0.05</v>
      </c>
      <c r="F683" s="263">
        <f>'Expected NPV &amp; Common Data'!F87</f>
        <v>0.05</v>
      </c>
      <c r="G683" s="263">
        <f>'Expected NPV &amp; Common Data'!G87</f>
        <v>0.05</v>
      </c>
      <c r="H683" s="263">
        <f>'Expected NPV &amp; Common Data'!H87</f>
        <v>0.05</v>
      </c>
      <c r="I683" s="263">
        <f>'Expected NPV &amp; Common Data'!I87</f>
        <v>0.05</v>
      </c>
      <c r="J683" s="263">
        <f>'Expected NPV &amp; Common Data'!J87</f>
        <v>0.05</v>
      </c>
      <c r="K683" s="263">
        <f>'Expected NPV &amp; Common Data'!K87</f>
        <v>0.05</v>
      </c>
      <c r="L683" s="263">
        <f>'Expected NPV &amp; Common Data'!L87</f>
        <v>0.05</v>
      </c>
      <c r="M683" s="263">
        <f>'Expected NPV &amp; Common Data'!M87</f>
        <v>0.05</v>
      </c>
      <c r="N683" s="263">
        <f>'Expected NPV &amp; Common Data'!N87</f>
        <v>0.05</v>
      </c>
      <c r="O683" s="263">
        <f>'Expected NPV &amp; Common Data'!O87</f>
        <v>0.05</v>
      </c>
      <c r="P683" s="263">
        <f>'Expected NPV &amp; Common Data'!P87</f>
        <v>0.05</v>
      </c>
      <c r="Q683" s="263">
        <f>'Expected NPV &amp; Common Data'!Q87</f>
        <v>0.05</v>
      </c>
      <c r="R683" s="263">
        <f>'Expected NPV &amp; Common Data'!R87</f>
        <v>0.05</v>
      </c>
      <c r="S683" s="263">
        <f>'Expected NPV &amp; Common Data'!S87</f>
        <v>0.05</v>
      </c>
      <c r="T683" s="263">
        <f>'Expected NPV &amp; Common Data'!T87</f>
        <v>0.05</v>
      </c>
      <c r="U683" s="263">
        <f>'Expected NPV &amp; Common Data'!U87</f>
        <v>0.05</v>
      </c>
      <c r="V683" s="263">
        <f>'Expected NPV &amp; Common Data'!V87</f>
        <v>0.05</v>
      </c>
      <c r="W683" s="263">
        <f>'Expected NPV &amp; Common Data'!W87</f>
        <v>0.05</v>
      </c>
      <c r="X683" s="263">
        <f>'Expected NPV &amp; Common Data'!X87</f>
        <v>0.05</v>
      </c>
      <c r="Y683" s="263">
        <f>'Expected NPV &amp; Common Data'!Y87</f>
        <v>0.05</v>
      </c>
      <c r="Z683" s="263">
        <f>'Expected NPV &amp; Common Data'!Z87</f>
        <v>0.05</v>
      </c>
      <c r="AA683" s="263">
        <f>'Expected NPV &amp; Common Data'!AA87</f>
        <v>0.05</v>
      </c>
      <c r="AB683" s="263">
        <f>'Expected NPV &amp; Common Data'!AB87</f>
        <v>0.05</v>
      </c>
      <c r="AC683" s="263">
        <f>'Expected NPV &amp; Common Data'!AC87</f>
        <v>0.05</v>
      </c>
      <c r="AD683" s="263">
        <f>'Expected NPV &amp; Common Data'!AD87</f>
        <v>0.05</v>
      </c>
    </row>
    <row r="684" spans="1:30" s="45" customFormat="1" outlineLevel="1">
      <c r="A684" s="59" t="s">
        <v>139</v>
      </c>
      <c r="B684" s="45" t="s">
        <v>284</v>
      </c>
      <c r="C684" s="44">
        <f>SUM(D684:AD684)</f>
        <v>85.635482400000015</v>
      </c>
      <c r="D684" s="68">
        <f>D682*D683</f>
        <v>0</v>
      </c>
      <c r="E684" s="68">
        <f t="shared" ref="E684:AD684" si="287">E682*E683</f>
        <v>0</v>
      </c>
      <c r="F684" s="68">
        <f t="shared" si="287"/>
        <v>5.3108031301775149</v>
      </c>
      <c r="G684" s="68">
        <f t="shared" si="287"/>
        <v>10.460820477514794</v>
      </c>
      <c r="H684" s="68">
        <f t="shared" si="287"/>
        <v>11.527853400000001</v>
      </c>
      <c r="I684" s="68">
        <f t="shared" si="287"/>
        <v>11.527853400000001</v>
      </c>
      <c r="J684" s="68">
        <f t="shared" si="287"/>
        <v>11.966360080473372</v>
      </c>
      <c r="K684" s="68">
        <f t="shared" si="287"/>
        <v>8.0051830668639052</v>
      </c>
      <c r="L684" s="68">
        <f t="shared" si="287"/>
        <v>5.3643983911242614</v>
      </c>
      <c r="M684" s="68">
        <f t="shared" si="287"/>
        <v>4.9405086000000011</v>
      </c>
      <c r="N684" s="68">
        <f t="shared" si="287"/>
        <v>4.9405086000000011</v>
      </c>
      <c r="O684" s="68">
        <f t="shared" si="287"/>
        <v>4.9405086000000011</v>
      </c>
      <c r="P684" s="68">
        <f t="shared" si="287"/>
        <v>6.650684653846155</v>
      </c>
      <c r="Q684" s="68">
        <f t="shared" si="287"/>
        <v>0</v>
      </c>
      <c r="R684" s="68">
        <f t="shared" si="287"/>
        <v>0</v>
      </c>
      <c r="S684" s="68">
        <f t="shared" si="287"/>
        <v>0</v>
      </c>
      <c r="T684" s="68">
        <f t="shared" si="287"/>
        <v>0</v>
      </c>
      <c r="U684" s="68">
        <f t="shared" si="287"/>
        <v>0</v>
      </c>
      <c r="V684" s="68">
        <f t="shared" si="287"/>
        <v>0</v>
      </c>
      <c r="W684" s="68">
        <f t="shared" si="287"/>
        <v>0</v>
      </c>
      <c r="X684" s="68">
        <f t="shared" si="287"/>
        <v>0</v>
      </c>
      <c r="Y684" s="68">
        <f t="shared" si="287"/>
        <v>0</v>
      </c>
      <c r="Z684" s="68">
        <f t="shared" si="287"/>
        <v>0</v>
      </c>
      <c r="AA684" s="68">
        <f t="shared" si="287"/>
        <v>0</v>
      </c>
      <c r="AB684" s="68">
        <f t="shared" si="287"/>
        <v>0</v>
      </c>
      <c r="AC684" s="68">
        <f t="shared" si="287"/>
        <v>0</v>
      </c>
      <c r="AD684" s="68">
        <f t="shared" si="287"/>
        <v>0</v>
      </c>
    </row>
    <row r="685" spans="1:30" s="45" customFormat="1" outlineLevel="1">
      <c r="A685" s="41"/>
      <c r="C685" s="303"/>
      <c r="D685" s="42"/>
      <c r="E685" s="42"/>
      <c r="F685" s="42"/>
      <c r="G685" s="42"/>
      <c r="H685" s="42"/>
      <c r="I685" s="42"/>
      <c r="J685" s="42"/>
      <c r="K685" s="42"/>
      <c r="L685" s="42"/>
      <c r="M685" s="42"/>
      <c r="N685" s="42"/>
      <c r="O685" s="42"/>
      <c r="P685" s="42"/>
      <c r="Q685" s="42"/>
      <c r="R685" s="42"/>
      <c r="S685" s="42"/>
      <c r="T685" s="42"/>
      <c r="U685" s="42"/>
      <c r="V685" s="42"/>
      <c r="W685" s="42"/>
      <c r="X685" s="42"/>
      <c r="Y685" s="42"/>
      <c r="Z685" s="42"/>
      <c r="AA685" s="42"/>
      <c r="AB685" s="42"/>
      <c r="AC685" s="42"/>
      <c r="AD685" s="42"/>
    </row>
    <row r="686" spans="1:30" customFormat="1" ht="15.5" outlineLevel="1">
      <c r="A686" s="1" t="s">
        <v>166</v>
      </c>
      <c r="C686" s="3"/>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row>
    <row r="687" spans="1:30" s="45" customFormat="1" outlineLevel="1">
      <c r="A687" s="45" t="str">
        <f>A324</f>
        <v>gold revenue after TC/RC in A$</v>
      </c>
      <c r="B687" s="45" t="str">
        <f>B324</f>
        <v>A$ million Real</v>
      </c>
      <c r="C687" s="42">
        <f>SUM(D687:AD687)</f>
        <v>959.84674304021155</v>
      </c>
      <c r="D687" s="42">
        <f t="shared" ref="D687:AD687" si="288">D324</f>
        <v>0</v>
      </c>
      <c r="E687" s="42">
        <f t="shared" si="288"/>
        <v>0</v>
      </c>
      <c r="F687" s="42">
        <f t="shared" si="288"/>
        <v>34.196087682414046</v>
      </c>
      <c r="G687" s="42">
        <f t="shared" si="288"/>
        <v>64.255375340093991</v>
      </c>
      <c r="H687" s="42">
        <f t="shared" si="288"/>
        <v>69.048810289389067</v>
      </c>
      <c r="I687" s="42">
        <f t="shared" si="288"/>
        <v>69.048810289389067</v>
      </c>
      <c r="J687" s="42">
        <f t="shared" si="288"/>
        <v>71.872340465001216</v>
      </c>
      <c r="K687" s="42">
        <f t="shared" si="288"/>
        <v>64.415463779342119</v>
      </c>
      <c r="L687" s="42">
        <f t="shared" si="288"/>
        <v>64.305058828213134</v>
      </c>
      <c r="M687" s="42">
        <f t="shared" si="288"/>
        <v>64.664758842443732</v>
      </c>
      <c r="N687" s="42">
        <f t="shared" si="288"/>
        <v>64.664758842443732</v>
      </c>
      <c r="O687" s="42">
        <f t="shared" si="288"/>
        <v>64.664758842443732</v>
      </c>
      <c r="P687" s="42">
        <f t="shared" si="288"/>
        <v>64.991017983979503</v>
      </c>
      <c r="Q687" s="42">
        <f t="shared" si="288"/>
        <v>61.884517932228547</v>
      </c>
      <c r="R687" s="42">
        <f t="shared" si="288"/>
        <v>61.37672025723473</v>
      </c>
      <c r="S687" s="42">
        <f t="shared" si="288"/>
        <v>61.37672025723473</v>
      </c>
      <c r="T687" s="42">
        <f t="shared" si="288"/>
        <v>79.081543408360119</v>
      </c>
      <c r="U687" s="42">
        <f t="shared" si="288"/>
        <v>0</v>
      </c>
      <c r="V687" s="42">
        <f t="shared" si="288"/>
        <v>0</v>
      </c>
      <c r="W687" s="42">
        <f t="shared" si="288"/>
        <v>0</v>
      </c>
      <c r="X687" s="42">
        <f t="shared" si="288"/>
        <v>0</v>
      </c>
      <c r="Y687" s="42">
        <f t="shared" si="288"/>
        <v>0</v>
      </c>
      <c r="Z687" s="42">
        <f t="shared" si="288"/>
        <v>0</v>
      </c>
      <c r="AA687" s="42">
        <f t="shared" si="288"/>
        <v>0</v>
      </c>
      <c r="AB687" s="42">
        <f t="shared" si="288"/>
        <v>0</v>
      </c>
      <c r="AC687" s="42">
        <f t="shared" si="288"/>
        <v>0</v>
      </c>
      <c r="AD687" s="42">
        <f t="shared" si="288"/>
        <v>0</v>
      </c>
    </row>
    <row r="688" spans="1:30" outlineLevel="1">
      <c r="A688" s="247" t="str">
        <f>'Expected NPV &amp; Common Data'!A90</f>
        <v>State gold royalty</v>
      </c>
      <c r="B688" s="247" t="str">
        <f>'Expected NPV &amp; Common Data'!B90</f>
        <v>%</v>
      </c>
      <c r="C688" s="262"/>
      <c r="D688" s="263">
        <f>'Expected NPV &amp; Common Data'!D90</f>
        <v>0.05</v>
      </c>
      <c r="E688" s="263">
        <f>'Expected NPV &amp; Common Data'!E90</f>
        <v>0.05</v>
      </c>
      <c r="F688" s="263">
        <f>'Expected NPV &amp; Common Data'!F90</f>
        <v>0.05</v>
      </c>
      <c r="G688" s="263">
        <f>'Expected NPV &amp; Common Data'!G90</f>
        <v>0.05</v>
      </c>
      <c r="H688" s="263">
        <f>'Expected NPV &amp; Common Data'!H90</f>
        <v>0.05</v>
      </c>
      <c r="I688" s="263">
        <f>'Expected NPV &amp; Common Data'!I90</f>
        <v>0.05</v>
      </c>
      <c r="J688" s="263">
        <f>'Expected NPV &amp; Common Data'!J90</f>
        <v>0.05</v>
      </c>
      <c r="K688" s="263">
        <f>'Expected NPV &amp; Common Data'!K90</f>
        <v>0.05</v>
      </c>
      <c r="L688" s="263">
        <f>'Expected NPV &amp; Common Data'!L90</f>
        <v>0.05</v>
      </c>
      <c r="M688" s="263">
        <f>'Expected NPV &amp; Common Data'!M90</f>
        <v>0.05</v>
      </c>
      <c r="N688" s="263">
        <f>'Expected NPV &amp; Common Data'!N90</f>
        <v>0.05</v>
      </c>
      <c r="O688" s="263">
        <f>'Expected NPV &amp; Common Data'!O90</f>
        <v>0.05</v>
      </c>
      <c r="P688" s="263">
        <f>'Expected NPV &amp; Common Data'!P90</f>
        <v>0.05</v>
      </c>
      <c r="Q688" s="263">
        <f>'Expected NPV &amp; Common Data'!Q90</f>
        <v>0.05</v>
      </c>
      <c r="R688" s="263">
        <f>'Expected NPV &amp; Common Data'!R90</f>
        <v>0.05</v>
      </c>
      <c r="S688" s="263">
        <f>'Expected NPV &amp; Common Data'!S90</f>
        <v>0.05</v>
      </c>
      <c r="T688" s="263">
        <f>'Expected NPV &amp; Common Data'!T90</f>
        <v>0.05</v>
      </c>
      <c r="U688" s="263">
        <f>'Expected NPV &amp; Common Data'!U90</f>
        <v>0.05</v>
      </c>
      <c r="V688" s="263">
        <f>'Expected NPV &amp; Common Data'!V90</f>
        <v>0.05</v>
      </c>
      <c r="W688" s="263">
        <f>'Expected NPV &amp; Common Data'!W90</f>
        <v>0.05</v>
      </c>
      <c r="X688" s="263">
        <f>'Expected NPV &amp; Common Data'!X90</f>
        <v>0.05</v>
      </c>
      <c r="Y688" s="263">
        <f>'Expected NPV &amp; Common Data'!Y90</f>
        <v>0.05</v>
      </c>
      <c r="Z688" s="263">
        <f>'Expected NPV &amp; Common Data'!Z90</f>
        <v>0.05</v>
      </c>
      <c r="AA688" s="263">
        <f>'Expected NPV &amp; Common Data'!AA90</f>
        <v>0.05</v>
      </c>
      <c r="AB688" s="263">
        <f>'Expected NPV &amp; Common Data'!AB90</f>
        <v>0.05</v>
      </c>
      <c r="AC688" s="263">
        <f>'Expected NPV &amp; Common Data'!AC90</f>
        <v>0.05</v>
      </c>
      <c r="AD688" s="263">
        <f>'Expected NPV &amp; Common Data'!AD90</f>
        <v>0.05</v>
      </c>
    </row>
    <row r="689" spans="1:30" s="45" customFormat="1" outlineLevel="1">
      <c r="A689" s="59" t="s">
        <v>140</v>
      </c>
      <c r="B689" s="45" t="s">
        <v>284</v>
      </c>
      <c r="C689" s="44">
        <f>SUM(D689:AD689)</f>
        <v>47.992337152010577</v>
      </c>
      <c r="D689" s="68">
        <f>D687*D688</f>
        <v>0</v>
      </c>
      <c r="E689" s="68">
        <f t="shared" ref="E689:AD689" si="289">E687*E688</f>
        <v>0</v>
      </c>
      <c r="F689" s="68">
        <f t="shared" si="289"/>
        <v>1.7098043841207025</v>
      </c>
      <c r="G689" s="68">
        <f t="shared" si="289"/>
        <v>3.2127687670046998</v>
      </c>
      <c r="H689" s="68">
        <f t="shared" si="289"/>
        <v>3.4524405144694534</v>
      </c>
      <c r="I689" s="68">
        <f t="shared" si="289"/>
        <v>3.4524405144694534</v>
      </c>
      <c r="J689" s="68">
        <f t="shared" si="289"/>
        <v>3.593617023250061</v>
      </c>
      <c r="K689" s="68">
        <f t="shared" si="289"/>
        <v>3.2207731889671063</v>
      </c>
      <c r="L689" s="68">
        <f t="shared" si="289"/>
        <v>3.215252941410657</v>
      </c>
      <c r="M689" s="68">
        <f t="shared" si="289"/>
        <v>3.2332379421221868</v>
      </c>
      <c r="N689" s="68">
        <f t="shared" si="289"/>
        <v>3.2332379421221868</v>
      </c>
      <c r="O689" s="68">
        <f t="shared" si="289"/>
        <v>3.2332379421221868</v>
      </c>
      <c r="P689" s="68">
        <f t="shared" si="289"/>
        <v>3.2495508991989754</v>
      </c>
      <c r="Q689" s="68">
        <f t="shared" si="289"/>
        <v>3.0942258966114276</v>
      </c>
      <c r="R689" s="68">
        <f t="shared" si="289"/>
        <v>3.0688360128617367</v>
      </c>
      <c r="S689" s="68">
        <f t="shared" si="289"/>
        <v>3.0688360128617367</v>
      </c>
      <c r="T689" s="68">
        <f t="shared" si="289"/>
        <v>3.9540771704180062</v>
      </c>
      <c r="U689" s="68">
        <f t="shared" si="289"/>
        <v>0</v>
      </c>
      <c r="V689" s="68">
        <f t="shared" si="289"/>
        <v>0</v>
      </c>
      <c r="W689" s="68">
        <f t="shared" si="289"/>
        <v>0</v>
      </c>
      <c r="X689" s="68">
        <f t="shared" si="289"/>
        <v>0</v>
      </c>
      <c r="Y689" s="68">
        <f t="shared" si="289"/>
        <v>0</v>
      </c>
      <c r="Z689" s="68">
        <f t="shared" si="289"/>
        <v>0</v>
      </c>
      <c r="AA689" s="68">
        <f t="shared" si="289"/>
        <v>0</v>
      </c>
      <c r="AB689" s="68">
        <f t="shared" si="289"/>
        <v>0</v>
      </c>
      <c r="AC689" s="68">
        <f t="shared" si="289"/>
        <v>0</v>
      </c>
      <c r="AD689" s="68">
        <f t="shared" si="289"/>
        <v>0</v>
      </c>
    </row>
    <row r="690" spans="1:30" s="45" customFormat="1" outlineLevel="1">
      <c r="A690" s="41"/>
      <c r="C690" s="303"/>
      <c r="D690" s="42"/>
      <c r="E690" s="42"/>
      <c r="F690" s="42"/>
      <c r="G690" s="42"/>
      <c r="H690" s="42"/>
      <c r="I690" s="42"/>
      <c r="J690" s="42"/>
      <c r="K690" s="42"/>
      <c r="L690" s="42"/>
      <c r="M690" s="42"/>
      <c r="N690" s="42"/>
      <c r="O690" s="42"/>
      <c r="P690" s="42"/>
      <c r="Q690" s="42"/>
      <c r="R690" s="42"/>
      <c r="S690" s="42"/>
      <c r="T690" s="42"/>
      <c r="U690" s="42"/>
      <c r="V690" s="42"/>
      <c r="W690" s="42"/>
      <c r="X690" s="42"/>
      <c r="Y690" s="42"/>
      <c r="Z690" s="42"/>
      <c r="AA690" s="42"/>
      <c r="AB690" s="42"/>
      <c r="AC690" s="42"/>
      <c r="AD690" s="42"/>
    </row>
    <row r="691" spans="1:30" customFormat="1" ht="15.5" outlineLevel="1">
      <c r="A691" s="1" t="s">
        <v>167</v>
      </c>
      <c r="C691" s="3"/>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row>
    <row r="692" spans="1:30" s="45" customFormat="1" outlineLevel="1">
      <c r="A692" s="45" t="str">
        <f>A325</f>
        <v>silver revenue after TC/RC in A$</v>
      </c>
      <c r="B692" s="45" t="str">
        <f>B325</f>
        <v>A$ million Real</v>
      </c>
      <c r="C692" s="42">
        <f>SUM(D692:AD692)</f>
        <v>20.358419296650101</v>
      </c>
      <c r="D692" s="56">
        <f t="shared" ref="D692:AD692" si="290">D325</f>
        <v>0</v>
      </c>
      <c r="E692" s="56">
        <f t="shared" si="290"/>
        <v>0</v>
      </c>
      <c r="F692" s="56">
        <f t="shared" si="290"/>
        <v>2.2059546905505263</v>
      </c>
      <c r="G692" s="56">
        <f t="shared" si="290"/>
        <v>4.1450486365859813</v>
      </c>
      <c r="H692" s="56">
        <f t="shared" si="290"/>
        <v>4.4542682294367806</v>
      </c>
      <c r="I692" s="56">
        <f t="shared" si="290"/>
        <v>4.4542682294367806</v>
      </c>
      <c r="J692" s="56">
        <f t="shared" si="290"/>
        <v>4.6364112772803985</v>
      </c>
      <c r="K692" s="56">
        <f t="shared" si="290"/>
        <v>0.46246823335963233</v>
      </c>
      <c r="L692" s="56">
        <f t="shared" si="290"/>
        <v>0</v>
      </c>
      <c r="M692" s="56">
        <f t="shared" si="290"/>
        <v>0</v>
      </c>
      <c r="N692" s="56">
        <f t="shared" si="290"/>
        <v>0</v>
      </c>
      <c r="O692" s="56">
        <f t="shared" si="290"/>
        <v>0</v>
      </c>
      <c r="P692" s="56">
        <f t="shared" si="290"/>
        <v>0</v>
      </c>
      <c r="Q692" s="56">
        <f t="shared" si="290"/>
        <v>0</v>
      </c>
      <c r="R692" s="56">
        <f t="shared" si="290"/>
        <v>0</v>
      </c>
      <c r="S692" s="56">
        <f t="shared" si="290"/>
        <v>0</v>
      </c>
      <c r="T692" s="56">
        <f t="shared" si="290"/>
        <v>0</v>
      </c>
      <c r="U692" s="56">
        <f t="shared" si="290"/>
        <v>0</v>
      </c>
      <c r="V692" s="56">
        <f t="shared" si="290"/>
        <v>0</v>
      </c>
      <c r="W692" s="56">
        <f t="shared" si="290"/>
        <v>0</v>
      </c>
      <c r="X692" s="56">
        <f t="shared" si="290"/>
        <v>0</v>
      </c>
      <c r="Y692" s="56">
        <f t="shared" si="290"/>
        <v>0</v>
      </c>
      <c r="Z692" s="56">
        <f t="shared" si="290"/>
        <v>0</v>
      </c>
      <c r="AA692" s="56">
        <f t="shared" si="290"/>
        <v>0</v>
      </c>
      <c r="AB692" s="56">
        <f t="shared" si="290"/>
        <v>0</v>
      </c>
      <c r="AC692" s="56">
        <f t="shared" si="290"/>
        <v>0</v>
      </c>
      <c r="AD692" s="56">
        <f t="shared" si="290"/>
        <v>0</v>
      </c>
    </row>
    <row r="693" spans="1:30" outlineLevel="1">
      <c r="A693" s="247" t="str">
        <f>'Expected NPV &amp; Common Data'!A93</f>
        <v>State silver royalty</v>
      </c>
      <c r="B693" s="247" t="str">
        <f>'Expected NPV &amp; Common Data'!B93</f>
        <v>%</v>
      </c>
      <c r="C693" s="262"/>
      <c r="D693" s="263">
        <f>'Expected NPV &amp; Common Data'!D93</f>
        <v>0.03</v>
      </c>
      <c r="E693" s="263">
        <f>'Expected NPV &amp; Common Data'!E93</f>
        <v>0.03</v>
      </c>
      <c r="F693" s="263">
        <f>'Expected NPV &amp; Common Data'!F93</f>
        <v>0.03</v>
      </c>
      <c r="G693" s="263">
        <f>'Expected NPV &amp; Common Data'!G93</f>
        <v>0.03</v>
      </c>
      <c r="H693" s="263">
        <f>'Expected NPV &amp; Common Data'!H93</f>
        <v>0.03</v>
      </c>
      <c r="I693" s="263">
        <f>'Expected NPV &amp; Common Data'!I93</f>
        <v>0.03</v>
      </c>
      <c r="J693" s="263">
        <f>'Expected NPV &amp; Common Data'!J93</f>
        <v>0.03</v>
      </c>
      <c r="K693" s="263">
        <f>'Expected NPV &amp; Common Data'!K93</f>
        <v>0.03</v>
      </c>
      <c r="L693" s="263">
        <f>'Expected NPV &amp; Common Data'!L93</f>
        <v>0.03</v>
      </c>
      <c r="M693" s="263">
        <f>'Expected NPV &amp; Common Data'!M93</f>
        <v>0.03</v>
      </c>
      <c r="N693" s="263">
        <f>'Expected NPV &amp; Common Data'!N93</f>
        <v>0.03</v>
      </c>
      <c r="O693" s="263">
        <f>'Expected NPV &amp; Common Data'!O93</f>
        <v>0.03</v>
      </c>
      <c r="P693" s="263">
        <f>'Expected NPV &amp; Common Data'!P93</f>
        <v>0.03</v>
      </c>
      <c r="Q693" s="263">
        <f>'Expected NPV &amp; Common Data'!Q93</f>
        <v>0.03</v>
      </c>
      <c r="R693" s="263">
        <f>'Expected NPV &amp; Common Data'!R93</f>
        <v>0.03</v>
      </c>
      <c r="S693" s="263">
        <f>'Expected NPV &amp; Common Data'!S93</f>
        <v>0.03</v>
      </c>
      <c r="T693" s="263">
        <f>'Expected NPV &amp; Common Data'!T93</f>
        <v>0.03</v>
      </c>
      <c r="U693" s="263">
        <f>'Expected NPV &amp; Common Data'!U93</f>
        <v>0.03</v>
      </c>
      <c r="V693" s="263">
        <f>'Expected NPV &amp; Common Data'!V93</f>
        <v>0.03</v>
      </c>
      <c r="W693" s="263">
        <f>'Expected NPV &amp; Common Data'!W93</f>
        <v>0.03</v>
      </c>
      <c r="X693" s="263">
        <f>'Expected NPV &amp; Common Data'!X93</f>
        <v>0.03</v>
      </c>
      <c r="Y693" s="263">
        <f>'Expected NPV &amp; Common Data'!Y93</f>
        <v>0.03</v>
      </c>
      <c r="Z693" s="263">
        <f>'Expected NPV &amp; Common Data'!Z93</f>
        <v>0.03</v>
      </c>
      <c r="AA693" s="263">
        <f>'Expected NPV &amp; Common Data'!AA93</f>
        <v>0.03</v>
      </c>
      <c r="AB693" s="263">
        <f>'Expected NPV &amp; Common Data'!AB93</f>
        <v>0.03</v>
      </c>
      <c r="AC693" s="263">
        <f>'Expected NPV &amp; Common Data'!AC93</f>
        <v>0.03</v>
      </c>
      <c r="AD693" s="263">
        <f>'Expected NPV &amp; Common Data'!AD93</f>
        <v>0.03</v>
      </c>
    </row>
    <row r="694" spans="1:30" s="45" customFormat="1" outlineLevel="1">
      <c r="A694" s="59" t="s">
        <v>141</v>
      </c>
      <c r="B694" s="45" t="s">
        <v>284</v>
      </c>
      <c r="C694" s="44">
        <f>SUM(D694:AD694)</f>
        <v>0.61075257889950296</v>
      </c>
      <c r="D694" s="68">
        <f>D692*D693</f>
        <v>0</v>
      </c>
      <c r="E694" s="68">
        <f t="shared" ref="E694:AD694" si="291">E692*E693</f>
        <v>0</v>
      </c>
      <c r="F694" s="68">
        <f t="shared" si="291"/>
        <v>6.6178640716515788E-2</v>
      </c>
      <c r="G694" s="68">
        <f t="shared" si="291"/>
        <v>0.12435145909757944</v>
      </c>
      <c r="H694" s="68">
        <f t="shared" si="291"/>
        <v>0.13362804688310342</v>
      </c>
      <c r="I694" s="68">
        <f t="shared" si="291"/>
        <v>0.13362804688310342</v>
      </c>
      <c r="J694" s="68">
        <f t="shared" si="291"/>
        <v>0.13909233831841195</v>
      </c>
      <c r="K694" s="68">
        <f t="shared" si="291"/>
        <v>1.387404700078897E-2</v>
      </c>
      <c r="L694" s="68">
        <f t="shared" si="291"/>
        <v>0</v>
      </c>
      <c r="M694" s="68">
        <f t="shared" si="291"/>
        <v>0</v>
      </c>
      <c r="N694" s="68">
        <f t="shared" si="291"/>
        <v>0</v>
      </c>
      <c r="O694" s="68">
        <f t="shared" si="291"/>
        <v>0</v>
      </c>
      <c r="P694" s="68">
        <f t="shared" si="291"/>
        <v>0</v>
      </c>
      <c r="Q694" s="68">
        <f t="shared" si="291"/>
        <v>0</v>
      </c>
      <c r="R694" s="68">
        <f t="shared" si="291"/>
        <v>0</v>
      </c>
      <c r="S694" s="68">
        <f t="shared" si="291"/>
        <v>0</v>
      </c>
      <c r="T694" s="68">
        <f t="shared" si="291"/>
        <v>0</v>
      </c>
      <c r="U694" s="68">
        <f t="shared" si="291"/>
        <v>0</v>
      </c>
      <c r="V694" s="68">
        <f t="shared" si="291"/>
        <v>0</v>
      </c>
      <c r="W694" s="68">
        <f t="shared" si="291"/>
        <v>0</v>
      </c>
      <c r="X694" s="68">
        <f t="shared" si="291"/>
        <v>0</v>
      </c>
      <c r="Y694" s="68">
        <f t="shared" si="291"/>
        <v>0</v>
      </c>
      <c r="Z694" s="68">
        <f t="shared" si="291"/>
        <v>0</v>
      </c>
      <c r="AA694" s="68">
        <f t="shared" si="291"/>
        <v>0</v>
      </c>
      <c r="AB694" s="68">
        <f t="shared" si="291"/>
        <v>0</v>
      </c>
      <c r="AC694" s="68">
        <f t="shared" si="291"/>
        <v>0</v>
      </c>
      <c r="AD694" s="68">
        <f t="shared" si="291"/>
        <v>0</v>
      </c>
    </row>
    <row r="695" spans="1:30" s="45" customFormat="1" ht="18.5" outlineLevel="1">
      <c r="A695" s="95"/>
      <c r="B695" s="96"/>
      <c r="C695" s="304"/>
      <c r="D695" s="42"/>
      <c r="E695" s="42"/>
      <c r="F695" s="42"/>
      <c r="G695" s="42"/>
      <c r="H695" s="42"/>
      <c r="I695" s="42"/>
      <c r="J695" s="42"/>
      <c r="K695" s="42"/>
      <c r="L695" s="42"/>
      <c r="M695" s="42"/>
      <c r="N695" s="42"/>
      <c r="O695" s="42"/>
      <c r="P695" s="42"/>
      <c r="Q695" s="42"/>
      <c r="R695" s="42"/>
      <c r="S695" s="42"/>
      <c r="T695" s="42"/>
      <c r="U695" s="42"/>
      <c r="V695" s="42"/>
      <c r="W695" s="42"/>
      <c r="X695" s="42"/>
      <c r="Y695" s="42"/>
      <c r="Z695" s="42"/>
      <c r="AA695" s="42"/>
      <c r="AB695" s="42"/>
      <c r="AC695" s="42"/>
      <c r="AD695" s="42"/>
    </row>
    <row r="696" spans="1:30" s="45" customFormat="1" ht="15.5" outlineLevel="1">
      <c r="A696" s="82" t="s">
        <v>401</v>
      </c>
      <c r="B696" s="13" t="s">
        <v>284</v>
      </c>
      <c r="C696" s="44">
        <f>SUM(D696:AD696)</f>
        <v>793.3045379607812</v>
      </c>
      <c r="D696" s="83">
        <f t="shared" ref="D696:AD696" si="292">D679+D684+D689+D694</f>
        <v>0</v>
      </c>
      <c r="E696" s="83">
        <f t="shared" si="292"/>
        <v>0</v>
      </c>
      <c r="F696" s="83">
        <f t="shared" si="292"/>
        <v>30.33737450761825</v>
      </c>
      <c r="G696" s="83">
        <f t="shared" si="292"/>
        <v>57.480837151279871</v>
      </c>
      <c r="H696" s="83">
        <f t="shared" si="292"/>
        <v>62.049485498587138</v>
      </c>
      <c r="I696" s="83">
        <f t="shared" si="292"/>
        <v>62.04335876447356</v>
      </c>
      <c r="J696" s="83">
        <f t="shared" si="292"/>
        <v>64.541094372854857</v>
      </c>
      <c r="K696" s="83">
        <f t="shared" si="292"/>
        <v>55.360845770895359</v>
      </c>
      <c r="L696" s="83">
        <f t="shared" si="292"/>
        <v>52.806032180848561</v>
      </c>
      <c r="M696" s="83">
        <f t="shared" si="292"/>
        <v>52.641469991671741</v>
      </c>
      <c r="N696" s="83">
        <f t="shared" si="292"/>
        <v>52.635365239511735</v>
      </c>
      <c r="O696" s="83">
        <f t="shared" si="292"/>
        <v>52.629199439830145</v>
      </c>
      <c r="P696" s="83">
        <f t="shared" si="292"/>
        <v>54.523752253564389</v>
      </c>
      <c r="Q696" s="83">
        <f t="shared" si="292"/>
        <v>46.063325495814574</v>
      </c>
      <c r="R696" s="83">
        <f t="shared" si="292"/>
        <v>45.67925814263932</v>
      </c>
      <c r="S696" s="83">
        <f t="shared" si="292"/>
        <v>45.673105664404439</v>
      </c>
      <c r="T696" s="83">
        <f t="shared" si="292"/>
        <v>58.840033486787348</v>
      </c>
      <c r="U696" s="83">
        <f t="shared" si="292"/>
        <v>0</v>
      </c>
      <c r="V696" s="83">
        <f t="shared" si="292"/>
        <v>0</v>
      </c>
      <c r="W696" s="83">
        <f t="shared" si="292"/>
        <v>0</v>
      </c>
      <c r="X696" s="83">
        <f t="shared" si="292"/>
        <v>0</v>
      </c>
      <c r="Y696" s="83">
        <f t="shared" si="292"/>
        <v>0</v>
      </c>
      <c r="Z696" s="83">
        <f t="shared" si="292"/>
        <v>0</v>
      </c>
      <c r="AA696" s="83">
        <f t="shared" si="292"/>
        <v>0</v>
      </c>
      <c r="AB696" s="83">
        <f t="shared" si="292"/>
        <v>0</v>
      </c>
      <c r="AC696" s="83">
        <f t="shared" si="292"/>
        <v>0</v>
      </c>
      <c r="AD696" s="83">
        <f t="shared" si="292"/>
        <v>0</v>
      </c>
    </row>
    <row r="697" spans="1:30" outlineLevel="1">
      <c r="A697" s="144" t="str">
        <f>A$98</f>
        <v>Forex: A$ = US$  - Low Case</v>
      </c>
      <c r="B697" s="142" t="str">
        <f>B$98</f>
        <v>A$1.00 = US$ ....</v>
      </c>
      <c r="C697" s="57"/>
      <c r="D697" s="57">
        <f t="shared" ref="D697:AD697" si="293">D$98</f>
        <v>0.6</v>
      </c>
      <c r="E697" s="57">
        <f t="shared" si="293"/>
        <v>0.6</v>
      </c>
      <c r="F697" s="57">
        <f t="shared" si="293"/>
        <v>0.6</v>
      </c>
      <c r="G697" s="57">
        <f t="shared" si="293"/>
        <v>0.6</v>
      </c>
      <c r="H697" s="57">
        <f t="shared" si="293"/>
        <v>0.6</v>
      </c>
      <c r="I697" s="57">
        <f t="shared" si="293"/>
        <v>0.6</v>
      </c>
      <c r="J697" s="57">
        <f t="shared" si="293"/>
        <v>0.6</v>
      </c>
      <c r="K697" s="57">
        <f t="shared" si="293"/>
        <v>0.6</v>
      </c>
      <c r="L697" s="57">
        <f t="shared" si="293"/>
        <v>0.6</v>
      </c>
      <c r="M697" s="57">
        <f t="shared" si="293"/>
        <v>0.6</v>
      </c>
      <c r="N697" s="57">
        <f t="shared" si="293"/>
        <v>0.6</v>
      </c>
      <c r="O697" s="57">
        <f t="shared" si="293"/>
        <v>0.6</v>
      </c>
      <c r="P697" s="57">
        <f t="shared" si="293"/>
        <v>0.6</v>
      </c>
      <c r="Q697" s="57">
        <f t="shared" si="293"/>
        <v>0.6</v>
      </c>
      <c r="R697" s="57">
        <f t="shared" si="293"/>
        <v>0.6</v>
      </c>
      <c r="S697" s="57">
        <f t="shared" si="293"/>
        <v>0.6</v>
      </c>
      <c r="T697" s="57">
        <f t="shared" si="293"/>
        <v>0.6</v>
      </c>
      <c r="U697" s="57">
        <f t="shared" si="293"/>
        <v>0.6</v>
      </c>
      <c r="V697" s="57">
        <f t="shared" si="293"/>
        <v>0.6</v>
      </c>
      <c r="W697" s="57">
        <f t="shared" si="293"/>
        <v>0.6</v>
      </c>
      <c r="X697" s="57">
        <f t="shared" si="293"/>
        <v>0.6</v>
      </c>
      <c r="Y697" s="57">
        <f t="shared" si="293"/>
        <v>0.6</v>
      </c>
      <c r="Z697" s="57">
        <f t="shared" si="293"/>
        <v>0.6</v>
      </c>
      <c r="AA697" s="57">
        <f t="shared" si="293"/>
        <v>0.6</v>
      </c>
      <c r="AB697" s="57">
        <f t="shared" si="293"/>
        <v>0.6</v>
      </c>
      <c r="AC697" s="57">
        <f t="shared" si="293"/>
        <v>0.6</v>
      </c>
      <c r="AD697" s="57">
        <f t="shared" si="293"/>
        <v>0.6</v>
      </c>
    </row>
    <row r="698" spans="1:30" s="45" customFormat="1" outlineLevel="1">
      <c r="A698" s="75" t="s">
        <v>401</v>
      </c>
      <c r="B698" s="45" t="s">
        <v>384</v>
      </c>
      <c r="C698" s="42">
        <f>SUM(D698:AD698)</f>
        <v>475.98272277646873</v>
      </c>
      <c r="D698" s="42">
        <f>D696*D697</f>
        <v>0</v>
      </c>
      <c r="E698" s="42">
        <f t="shared" ref="E698:AD698" si="294">E696*E697</f>
        <v>0</v>
      </c>
      <c r="F698" s="42">
        <f t="shared" si="294"/>
        <v>18.202424704570948</v>
      </c>
      <c r="G698" s="42">
        <f t="shared" si="294"/>
        <v>34.488502290767919</v>
      </c>
      <c r="H698" s="42">
        <f t="shared" si="294"/>
        <v>37.229691299152279</v>
      </c>
      <c r="I698" s="42">
        <f t="shared" si="294"/>
        <v>37.226015258684136</v>
      </c>
      <c r="J698" s="42">
        <f t="shared" si="294"/>
        <v>38.72465662371291</v>
      </c>
      <c r="K698" s="42">
        <f t="shared" si="294"/>
        <v>33.216507462537216</v>
      </c>
      <c r="L698" s="42">
        <f t="shared" si="294"/>
        <v>31.683619308509137</v>
      </c>
      <c r="M698" s="42">
        <f t="shared" si="294"/>
        <v>31.584881995003045</v>
      </c>
      <c r="N698" s="42">
        <f t="shared" si="294"/>
        <v>31.581219143707038</v>
      </c>
      <c r="O698" s="42">
        <f t="shared" si="294"/>
        <v>31.577519663898087</v>
      </c>
      <c r="P698" s="42">
        <f t="shared" si="294"/>
        <v>32.714251352138632</v>
      </c>
      <c r="Q698" s="42">
        <f t="shared" si="294"/>
        <v>27.637995297488743</v>
      </c>
      <c r="R698" s="42">
        <f t="shared" si="294"/>
        <v>27.40755488558359</v>
      </c>
      <c r="S698" s="42">
        <f t="shared" si="294"/>
        <v>27.403863398642663</v>
      </c>
      <c r="T698" s="42">
        <f t="shared" si="294"/>
        <v>35.304020092072406</v>
      </c>
      <c r="U698" s="42">
        <f t="shared" si="294"/>
        <v>0</v>
      </c>
      <c r="V698" s="42">
        <f t="shared" si="294"/>
        <v>0</v>
      </c>
      <c r="W698" s="42">
        <f t="shared" si="294"/>
        <v>0</v>
      </c>
      <c r="X698" s="42">
        <f t="shared" si="294"/>
        <v>0</v>
      </c>
      <c r="Y698" s="42">
        <f t="shared" si="294"/>
        <v>0</v>
      </c>
      <c r="Z698" s="42">
        <f t="shared" si="294"/>
        <v>0</v>
      </c>
      <c r="AA698" s="42">
        <f t="shared" si="294"/>
        <v>0</v>
      </c>
      <c r="AB698" s="42">
        <f t="shared" si="294"/>
        <v>0</v>
      </c>
      <c r="AC698" s="42">
        <f t="shared" si="294"/>
        <v>0</v>
      </c>
      <c r="AD698" s="42">
        <f t="shared" si="294"/>
        <v>0</v>
      </c>
    </row>
    <row r="699" spans="1:30" ht="54" customHeight="1">
      <c r="A699" s="23" t="s">
        <v>400</v>
      </c>
      <c r="D699" s="15"/>
      <c r="F699" s="15"/>
      <c r="G699" s="15"/>
      <c r="H699" s="15"/>
      <c r="I699" s="15"/>
      <c r="J699" s="15"/>
      <c r="K699" s="15"/>
      <c r="L699" s="15"/>
      <c r="M699" s="15"/>
      <c r="N699" s="15"/>
      <c r="O699" s="15"/>
      <c r="P699" s="15"/>
      <c r="Q699" s="15"/>
      <c r="R699" s="15"/>
      <c r="S699" s="15"/>
      <c r="T699" s="15"/>
      <c r="U699" s="15"/>
      <c r="V699" s="15"/>
      <c r="W699" s="15"/>
      <c r="X699" s="15"/>
      <c r="Y699" s="15"/>
      <c r="Z699" s="15"/>
      <c r="AA699" s="15"/>
      <c r="AB699" s="15"/>
      <c r="AC699" s="15"/>
      <c r="AD699" s="15"/>
    </row>
    <row r="700" spans="1:30" s="45" customFormat="1" outlineLevel="1">
      <c r="A700" s="282" t="s">
        <v>591</v>
      </c>
      <c r="B700" s="13"/>
      <c r="C700" s="53"/>
      <c r="D700" s="44"/>
      <c r="E700" s="44"/>
      <c r="F700" s="44"/>
      <c r="G700" s="44"/>
      <c r="H700" s="44"/>
      <c r="I700" s="44"/>
      <c r="J700" s="44"/>
      <c r="K700" s="44"/>
      <c r="L700" s="44"/>
      <c r="M700" s="44"/>
      <c r="N700" s="44"/>
      <c r="O700" s="44"/>
      <c r="P700" s="44"/>
      <c r="Q700" s="44"/>
      <c r="R700" s="44"/>
      <c r="S700" s="44"/>
      <c r="T700" s="44"/>
      <c r="U700" s="44"/>
      <c r="V700" s="44"/>
      <c r="W700" s="44"/>
      <c r="X700" s="44"/>
      <c r="Y700" s="44"/>
      <c r="Z700" s="44"/>
      <c r="AA700" s="44"/>
      <c r="AB700" s="44"/>
      <c r="AC700" s="44"/>
      <c r="AD700" s="44"/>
    </row>
    <row r="701" spans="1:30" s="45" customFormat="1" outlineLevel="1">
      <c r="A701" s="282" t="s">
        <v>592</v>
      </c>
      <c r="B701" s="13"/>
      <c r="C701" s="53"/>
      <c r="D701" s="44"/>
      <c r="E701" s="44"/>
      <c r="F701" s="44"/>
      <c r="G701" s="44"/>
      <c r="H701" s="44"/>
      <c r="I701" s="44"/>
      <c r="J701" s="44"/>
      <c r="K701" s="44"/>
      <c r="L701" s="44"/>
      <c r="M701" s="44"/>
      <c r="N701" s="44"/>
      <c r="O701" s="44"/>
      <c r="P701" s="44"/>
      <c r="Q701" s="44"/>
      <c r="R701" s="44"/>
      <c r="S701" s="44"/>
      <c r="T701" s="44"/>
      <c r="U701" s="44"/>
      <c r="V701" s="44"/>
      <c r="W701" s="44"/>
      <c r="X701" s="44"/>
      <c r="Y701" s="44"/>
      <c r="Z701" s="44"/>
      <c r="AA701" s="44"/>
      <c r="AB701" s="44"/>
      <c r="AC701" s="44"/>
      <c r="AD701" s="44"/>
    </row>
    <row r="702" spans="1:30" s="45" customFormat="1" outlineLevel="1">
      <c r="A702" s="282" t="s">
        <v>593</v>
      </c>
      <c r="B702" s="13"/>
      <c r="C702" s="53"/>
      <c r="D702" s="44"/>
      <c r="E702" s="44"/>
      <c r="F702" s="44"/>
      <c r="G702" s="44"/>
      <c r="H702" s="44"/>
      <c r="I702" s="44"/>
      <c r="J702" s="44"/>
      <c r="K702" s="44"/>
      <c r="L702" s="44"/>
      <c r="M702" s="44"/>
      <c r="N702" s="44"/>
      <c r="O702" s="44"/>
      <c r="P702" s="44"/>
      <c r="Q702" s="44"/>
      <c r="R702" s="44"/>
      <c r="S702" s="44"/>
      <c r="T702" s="44"/>
      <c r="U702" s="44"/>
      <c r="V702" s="44"/>
      <c r="W702" s="44"/>
      <c r="X702" s="44"/>
      <c r="Y702" s="44"/>
      <c r="Z702" s="44"/>
      <c r="AA702" s="44"/>
      <c r="AB702" s="44"/>
      <c r="AC702" s="44"/>
      <c r="AD702" s="44"/>
    </row>
    <row r="703" spans="1:30" s="45" customFormat="1" outlineLevel="1">
      <c r="A703" s="282" t="s">
        <v>594</v>
      </c>
      <c r="B703" s="13"/>
      <c r="C703" s="53"/>
      <c r="D703" s="44"/>
      <c r="E703" s="44"/>
      <c r="F703" s="44"/>
      <c r="G703" s="44"/>
      <c r="H703" s="44"/>
      <c r="I703" s="44"/>
      <c r="J703" s="44"/>
      <c r="K703" s="44"/>
      <c r="L703" s="44"/>
      <c r="M703" s="44"/>
      <c r="N703" s="44"/>
      <c r="O703" s="44"/>
      <c r="P703" s="44"/>
      <c r="Q703" s="44"/>
      <c r="R703" s="44"/>
      <c r="S703" s="44"/>
      <c r="T703" s="44"/>
      <c r="U703" s="44"/>
      <c r="V703" s="44"/>
      <c r="W703" s="44"/>
      <c r="X703" s="44"/>
      <c r="Y703" s="44"/>
      <c r="Z703" s="44"/>
      <c r="AA703" s="44"/>
      <c r="AB703" s="44"/>
      <c r="AC703" s="44"/>
      <c r="AD703" s="44"/>
    </row>
    <row r="704" spans="1:30" s="45" customFormat="1" outlineLevel="1">
      <c r="A704" s="282" t="s">
        <v>595</v>
      </c>
      <c r="B704" s="13"/>
      <c r="C704" s="53"/>
      <c r="D704" s="44"/>
      <c r="E704" s="44"/>
      <c r="F704" s="44"/>
      <c r="G704" s="44"/>
      <c r="H704" s="44"/>
      <c r="I704" s="44"/>
      <c r="J704" s="44"/>
      <c r="K704" s="44"/>
      <c r="L704" s="44"/>
      <c r="M704" s="44"/>
      <c r="N704" s="44"/>
      <c r="O704" s="44"/>
      <c r="P704" s="44"/>
      <c r="Q704" s="44"/>
      <c r="R704" s="44"/>
      <c r="S704" s="44"/>
      <c r="T704" s="44"/>
      <c r="U704" s="44"/>
      <c r="V704" s="44"/>
      <c r="W704" s="44"/>
      <c r="X704" s="44"/>
      <c r="Y704" s="44"/>
      <c r="Z704" s="44"/>
      <c r="AA704" s="44"/>
      <c r="AB704" s="44"/>
      <c r="AC704" s="44"/>
      <c r="AD704" s="44"/>
    </row>
    <row r="705" spans="1:30" s="167" customFormat="1" outlineLevel="1">
      <c r="A705" s="167" t="s">
        <v>475</v>
      </c>
      <c r="B705" s="49"/>
      <c r="C705" s="168"/>
      <c r="D705" s="168"/>
      <c r="E705" s="168"/>
      <c r="F705" s="168"/>
      <c r="G705" s="168"/>
      <c r="H705" s="168"/>
      <c r="I705" s="168"/>
      <c r="J705" s="168"/>
      <c r="K705" s="168"/>
      <c r="L705" s="168"/>
      <c r="M705" s="168"/>
      <c r="N705" s="168"/>
      <c r="O705" s="168"/>
      <c r="P705" s="168"/>
      <c r="Q705" s="168"/>
      <c r="R705" s="168"/>
      <c r="S705" s="168"/>
      <c r="T705" s="168"/>
      <c r="U705" s="168"/>
      <c r="V705" s="168"/>
      <c r="W705" s="168"/>
      <c r="X705" s="168"/>
      <c r="Y705" s="168"/>
      <c r="Z705" s="168"/>
      <c r="AA705" s="168"/>
      <c r="AB705" s="168"/>
      <c r="AC705" s="168"/>
      <c r="AD705" s="168"/>
    </row>
    <row r="706" spans="1:30" outlineLevel="1">
      <c r="A706" s="13" t="str">
        <f>A321</f>
        <v>Revenue in A$ - Low Case</v>
      </c>
      <c r="B706" s="13" t="str">
        <f>B321</f>
        <v>A$ million Real</v>
      </c>
      <c r="C706" s="118">
        <f>SUM(D706:AD706)</f>
        <v>11081.217260255004</v>
      </c>
      <c r="D706" s="118">
        <f t="shared" ref="D706:AD706" si="295">D321</f>
        <v>0</v>
      </c>
      <c r="E706" s="118">
        <f t="shared" si="295"/>
        <v>0</v>
      </c>
      <c r="F706" s="118">
        <f t="shared" si="295"/>
        <v>438.25441116111557</v>
      </c>
      <c r="G706" s="118">
        <f t="shared" si="295"/>
        <v>833.12546347529621</v>
      </c>
      <c r="H706" s="118">
        <f t="shared" si="295"/>
        <v>901.00958149451617</v>
      </c>
      <c r="I706" s="118">
        <f t="shared" si="295"/>
        <v>901.00958149451617</v>
      </c>
      <c r="J706" s="118">
        <f t="shared" si="295"/>
        <v>937.19572553534215</v>
      </c>
      <c r="K706" s="118">
        <f t="shared" si="295"/>
        <v>786.35627332500565</v>
      </c>
      <c r="L706" s="118">
        <f t="shared" si="295"/>
        <v>734.38404519522169</v>
      </c>
      <c r="M706" s="118">
        <f t="shared" si="295"/>
        <v>729.4140055596564</v>
      </c>
      <c r="N706" s="118">
        <f t="shared" si="295"/>
        <v>729.4140055596564</v>
      </c>
      <c r="O706" s="118">
        <f t="shared" si="295"/>
        <v>729.4140055596564</v>
      </c>
      <c r="P706" s="118">
        <f t="shared" si="295"/>
        <v>766.16290734247025</v>
      </c>
      <c r="Q706" s="118">
        <f t="shared" si="295"/>
        <v>609.05567306253386</v>
      </c>
      <c r="R706" s="118">
        <f t="shared" si="295"/>
        <v>604.05802478058956</v>
      </c>
      <c r="S706" s="118">
        <f t="shared" si="295"/>
        <v>604.05802478058956</v>
      </c>
      <c r="T706" s="118">
        <f t="shared" si="295"/>
        <v>778.30553192883644</v>
      </c>
      <c r="U706" s="118">
        <f t="shared" si="295"/>
        <v>0</v>
      </c>
      <c r="V706" s="118">
        <f t="shared" si="295"/>
        <v>0</v>
      </c>
      <c r="W706" s="118">
        <f t="shared" si="295"/>
        <v>0</v>
      </c>
      <c r="X706" s="118">
        <f t="shared" si="295"/>
        <v>0</v>
      </c>
      <c r="Y706" s="118">
        <f t="shared" si="295"/>
        <v>0</v>
      </c>
      <c r="Z706" s="118">
        <f t="shared" si="295"/>
        <v>0</v>
      </c>
      <c r="AA706" s="118">
        <f t="shared" si="295"/>
        <v>0</v>
      </c>
      <c r="AB706" s="118">
        <f t="shared" si="295"/>
        <v>0</v>
      </c>
      <c r="AC706" s="118">
        <f t="shared" si="295"/>
        <v>0</v>
      </c>
      <c r="AD706" s="118">
        <f t="shared" si="295"/>
        <v>0</v>
      </c>
    </row>
    <row r="707" spans="1:30" s="71" customFormat="1" ht="19.5" customHeight="1" outlineLevel="1">
      <c r="A707" s="62" t="s">
        <v>16</v>
      </c>
      <c r="C707" s="119"/>
      <c r="D707" s="119"/>
      <c r="E707" s="119"/>
      <c r="F707" s="119"/>
      <c r="G707" s="119"/>
      <c r="H707" s="119"/>
      <c r="I707" s="119"/>
      <c r="J707" s="119"/>
      <c r="K707" s="119"/>
      <c r="L707" s="119"/>
      <c r="M707" s="119"/>
      <c r="N707" s="119"/>
      <c r="O707" s="119"/>
      <c r="P707" s="119"/>
      <c r="Q707" s="119"/>
      <c r="R707" s="119"/>
      <c r="S707" s="119"/>
      <c r="T707" s="119"/>
      <c r="U707" s="119"/>
      <c r="V707" s="119"/>
      <c r="W707" s="119"/>
      <c r="X707" s="119"/>
      <c r="Y707" s="119"/>
      <c r="Z707" s="119"/>
      <c r="AA707" s="119"/>
      <c r="AB707" s="119"/>
      <c r="AC707" s="119"/>
      <c r="AD707" s="119"/>
    </row>
    <row r="708" spans="1:30" outlineLevel="1">
      <c r="A708" s="13" t="str">
        <f>A645</f>
        <v>Operating Costs in A$ - Low Case</v>
      </c>
      <c r="B708" s="13" t="str">
        <f>B645</f>
        <v>A$ millions Real</v>
      </c>
      <c r="C708" s="118">
        <f>SUM(D708:AD708)</f>
        <v>9044.1990274648051</v>
      </c>
      <c r="D708" s="118">
        <f t="shared" ref="D708:AD708" si="296">D645</f>
        <v>3.8</v>
      </c>
      <c r="E708" s="118">
        <f t="shared" si="296"/>
        <v>250.75</v>
      </c>
      <c r="F708" s="118">
        <f t="shared" si="296"/>
        <v>385.61364817296845</v>
      </c>
      <c r="G708" s="118">
        <f t="shared" si="296"/>
        <v>427.741618919507</v>
      </c>
      <c r="H708" s="118">
        <f t="shared" si="296"/>
        <v>587.31900548753072</v>
      </c>
      <c r="I708" s="118">
        <f t="shared" si="296"/>
        <v>587.39987408395052</v>
      </c>
      <c r="J708" s="118">
        <f t="shared" si="296"/>
        <v>699.37577756727092</v>
      </c>
      <c r="K708" s="118">
        <f t="shared" si="296"/>
        <v>667.19814194379228</v>
      </c>
      <c r="L708" s="118">
        <f t="shared" si="296"/>
        <v>673.69623250559323</v>
      </c>
      <c r="M708" s="118">
        <f t="shared" si="296"/>
        <v>676.61246141576794</v>
      </c>
      <c r="N708" s="118">
        <f t="shared" si="296"/>
        <v>679.49070066140166</v>
      </c>
      <c r="O708" s="118">
        <f t="shared" si="296"/>
        <v>682.36972229949163</v>
      </c>
      <c r="P708" s="118">
        <f t="shared" si="296"/>
        <v>663.26110715196842</v>
      </c>
      <c r="Q708" s="118">
        <f t="shared" si="296"/>
        <v>504.52781014026584</v>
      </c>
      <c r="R708" s="118">
        <f t="shared" si="296"/>
        <v>508.12142790113489</v>
      </c>
      <c r="S708" s="118">
        <f t="shared" si="296"/>
        <v>435.99833387907103</v>
      </c>
      <c r="T708" s="118">
        <f t="shared" si="296"/>
        <v>610.92316533509029</v>
      </c>
      <c r="U708" s="118">
        <f t="shared" si="296"/>
        <v>0</v>
      </c>
      <c r="V708" s="118">
        <f t="shared" si="296"/>
        <v>0</v>
      </c>
      <c r="W708" s="118">
        <f t="shared" si="296"/>
        <v>0</v>
      </c>
      <c r="X708" s="118">
        <f t="shared" si="296"/>
        <v>0</v>
      </c>
      <c r="Y708" s="118">
        <f t="shared" si="296"/>
        <v>0</v>
      </c>
      <c r="Z708" s="118">
        <f t="shared" si="296"/>
        <v>0</v>
      </c>
      <c r="AA708" s="118">
        <f t="shared" si="296"/>
        <v>0</v>
      </c>
      <c r="AB708" s="118">
        <f t="shared" si="296"/>
        <v>0</v>
      </c>
      <c r="AC708" s="118">
        <f t="shared" si="296"/>
        <v>0</v>
      </c>
      <c r="AD708" s="118">
        <f t="shared" si="296"/>
        <v>0</v>
      </c>
    </row>
    <row r="709" spans="1:30" outlineLevel="1">
      <c r="A709" s="13" t="str">
        <f>A696</f>
        <v>Royalties State</v>
      </c>
      <c r="B709" s="13" t="str">
        <f>B696</f>
        <v>A$ millions Real</v>
      </c>
      <c r="C709" s="118">
        <f>SUM(D709:AD709)</f>
        <v>793.3045379607812</v>
      </c>
      <c r="D709" s="118">
        <f t="shared" ref="D709:AD709" si="297">D696</f>
        <v>0</v>
      </c>
      <c r="E709" s="118">
        <f t="shared" si="297"/>
        <v>0</v>
      </c>
      <c r="F709" s="118">
        <f t="shared" si="297"/>
        <v>30.33737450761825</v>
      </c>
      <c r="G709" s="118">
        <f t="shared" si="297"/>
        <v>57.480837151279871</v>
      </c>
      <c r="H709" s="118">
        <f t="shared" si="297"/>
        <v>62.049485498587138</v>
      </c>
      <c r="I709" s="118">
        <f t="shared" si="297"/>
        <v>62.04335876447356</v>
      </c>
      <c r="J709" s="118">
        <f t="shared" si="297"/>
        <v>64.541094372854857</v>
      </c>
      <c r="K709" s="118">
        <f t="shared" si="297"/>
        <v>55.360845770895359</v>
      </c>
      <c r="L709" s="118">
        <f t="shared" si="297"/>
        <v>52.806032180848561</v>
      </c>
      <c r="M709" s="118">
        <f t="shared" si="297"/>
        <v>52.641469991671741</v>
      </c>
      <c r="N709" s="118">
        <f t="shared" si="297"/>
        <v>52.635365239511735</v>
      </c>
      <c r="O709" s="118">
        <f t="shared" si="297"/>
        <v>52.629199439830145</v>
      </c>
      <c r="P709" s="118">
        <f t="shared" si="297"/>
        <v>54.523752253564389</v>
      </c>
      <c r="Q709" s="118">
        <f t="shared" si="297"/>
        <v>46.063325495814574</v>
      </c>
      <c r="R709" s="118">
        <f t="shared" si="297"/>
        <v>45.67925814263932</v>
      </c>
      <c r="S709" s="118">
        <f t="shared" si="297"/>
        <v>45.673105664404439</v>
      </c>
      <c r="T709" s="118">
        <f t="shared" si="297"/>
        <v>58.840033486787348</v>
      </c>
      <c r="U709" s="118">
        <f t="shared" si="297"/>
        <v>0</v>
      </c>
      <c r="V709" s="118">
        <f t="shared" si="297"/>
        <v>0</v>
      </c>
      <c r="W709" s="118">
        <f t="shared" si="297"/>
        <v>0</v>
      </c>
      <c r="X709" s="118">
        <f t="shared" si="297"/>
        <v>0</v>
      </c>
      <c r="Y709" s="118">
        <f t="shared" si="297"/>
        <v>0</v>
      </c>
      <c r="Z709" s="118">
        <f t="shared" si="297"/>
        <v>0</v>
      </c>
      <c r="AA709" s="118">
        <f t="shared" si="297"/>
        <v>0</v>
      </c>
      <c r="AB709" s="118">
        <f t="shared" si="297"/>
        <v>0</v>
      </c>
      <c r="AC709" s="118">
        <f t="shared" si="297"/>
        <v>0</v>
      </c>
      <c r="AD709" s="118">
        <f t="shared" si="297"/>
        <v>0</v>
      </c>
    </row>
    <row r="710" spans="1:30" s="63" customFormat="1" outlineLevel="1">
      <c r="A710" s="63" t="str">
        <f>A416</f>
        <v>deductions for capex incl prestrip - available  (Real terms)</v>
      </c>
      <c r="B710" s="13" t="s">
        <v>407</v>
      </c>
      <c r="C710" s="120">
        <f>SUM(D710:AD710)</f>
        <v>2163.0176669407451</v>
      </c>
      <c r="D710" s="120">
        <f t="shared" ref="D710:AD710" si="298">D416</f>
        <v>10</v>
      </c>
      <c r="E710" s="120">
        <f t="shared" si="298"/>
        <v>30</v>
      </c>
      <c r="F710" s="120">
        <f t="shared" si="298"/>
        <v>414.7697500547676</v>
      </c>
      <c r="G710" s="120">
        <f t="shared" si="298"/>
        <v>285.72449471693494</v>
      </c>
      <c r="H710" s="120">
        <f t="shared" si="298"/>
        <v>203.50671717004758</v>
      </c>
      <c r="I710" s="120">
        <f t="shared" si="298"/>
        <v>155.41563266261764</v>
      </c>
      <c r="J710" s="120">
        <f t="shared" si="298"/>
        <v>120.72824954856712</v>
      </c>
      <c r="K710" s="120">
        <f t="shared" si="298"/>
        <v>98.159382013056899</v>
      </c>
      <c r="L710" s="120">
        <f t="shared" si="298"/>
        <v>83.351982094152561</v>
      </c>
      <c r="M710" s="120">
        <f t="shared" si="298"/>
        <v>77.141295553786733</v>
      </c>
      <c r="N710" s="120">
        <f t="shared" si="298"/>
        <v>69.861834847835397</v>
      </c>
      <c r="O710" s="120">
        <f t="shared" si="298"/>
        <v>64.833841204122649</v>
      </c>
      <c r="P710" s="120">
        <f t="shared" si="298"/>
        <v>61.30882471456691</v>
      </c>
      <c r="Q710" s="120">
        <f t="shared" si="298"/>
        <v>61.499440350835727</v>
      </c>
      <c r="R710" s="120">
        <f t="shared" si="298"/>
        <v>59.156258362418143</v>
      </c>
      <c r="S710" s="120">
        <f t="shared" si="298"/>
        <v>57.400259032290002</v>
      </c>
      <c r="T710" s="120">
        <f t="shared" si="298"/>
        <v>310.15970461474518</v>
      </c>
      <c r="U710" s="120">
        <f t="shared" si="298"/>
        <v>0</v>
      </c>
      <c r="V710" s="120">
        <f t="shared" si="298"/>
        <v>0</v>
      </c>
      <c r="W710" s="120">
        <f t="shared" si="298"/>
        <v>0</v>
      </c>
      <c r="X710" s="120">
        <f t="shared" si="298"/>
        <v>0</v>
      </c>
      <c r="Y710" s="120">
        <f t="shared" si="298"/>
        <v>0</v>
      </c>
      <c r="Z710" s="120">
        <f t="shared" si="298"/>
        <v>0</v>
      </c>
      <c r="AA710" s="120">
        <f t="shared" si="298"/>
        <v>0</v>
      </c>
      <c r="AB710" s="120">
        <f t="shared" si="298"/>
        <v>0</v>
      </c>
      <c r="AC710" s="120">
        <f t="shared" si="298"/>
        <v>0</v>
      </c>
      <c r="AD710" s="120">
        <f t="shared" si="298"/>
        <v>0</v>
      </c>
    </row>
    <row r="711" spans="1:30" s="63" customFormat="1" outlineLevel="1">
      <c r="A711" s="63" t="s">
        <v>169</v>
      </c>
      <c r="B711" s="13" t="str">
        <f>B706</f>
        <v>A$ million Real</v>
      </c>
      <c r="C711" s="120">
        <f>SUM(D711:AD711)</f>
        <v>-919.30397211132868</v>
      </c>
      <c r="D711" s="121">
        <f>D706-SUM(D708:D710)</f>
        <v>-13.8</v>
      </c>
      <c r="E711" s="121">
        <f t="shared" ref="E711:AD711" si="299">E706-SUM(E708:E710)</f>
        <v>-280.75</v>
      </c>
      <c r="F711" s="121">
        <f t="shared" si="299"/>
        <v>-392.46636157423876</v>
      </c>
      <c r="G711" s="121">
        <f t="shared" si="299"/>
        <v>62.178512687574425</v>
      </c>
      <c r="H711" s="121">
        <f t="shared" si="299"/>
        <v>48.13437333835077</v>
      </c>
      <c r="I711" s="121">
        <f t="shared" si="299"/>
        <v>96.15071598347447</v>
      </c>
      <c r="J711" s="121">
        <f t="shared" si="299"/>
        <v>52.550604046649255</v>
      </c>
      <c r="K711" s="121">
        <f t="shared" si="299"/>
        <v>-34.362096402738871</v>
      </c>
      <c r="L711" s="121">
        <f t="shared" si="299"/>
        <v>-75.470201585372706</v>
      </c>
      <c r="M711" s="121">
        <f t="shared" si="299"/>
        <v>-76.981221401569996</v>
      </c>
      <c r="N711" s="121">
        <f t="shared" si="299"/>
        <v>-72.573895189092468</v>
      </c>
      <c r="O711" s="121">
        <f t="shared" si="299"/>
        <v>-70.418757383788034</v>
      </c>
      <c r="P711" s="121">
        <f t="shared" si="299"/>
        <v>-12.930776777629376</v>
      </c>
      <c r="Q711" s="121">
        <f t="shared" si="299"/>
        <v>-3.0349029243822088</v>
      </c>
      <c r="R711" s="121">
        <f t="shared" si="299"/>
        <v>-8.8989196256028436</v>
      </c>
      <c r="S711" s="121">
        <f t="shared" si="299"/>
        <v>64.986326204824081</v>
      </c>
      <c r="T711" s="121">
        <f t="shared" si="299"/>
        <v>-201.6173715077864</v>
      </c>
      <c r="U711" s="121">
        <f t="shared" si="299"/>
        <v>0</v>
      </c>
      <c r="V711" s="121">
        <f t="shared" si="299"/>
        <v>0</v>
      </c>
      <c r="W711" s="121">
        <f t="shared" si="299"/>
        <v>0</v>
      </c>
      <c r="X711" s="121">
        <f t="shared" si="299"/>
        <v>0</v>
      </c>
      <c r="Y711" s="121">
        <f t="shared" si="299"/>
        <v>0</v>
      </c>
      <c r="Z711" s="121">
        <f t="shared" si="299"/>
        <v>0</v>
      </c>
      <c r="AA711" s="121">
        <f t="shared" si="299"/>
        <v>0</v>
      </c>
      <c r="AB711" s="121">
        <f t="shared" si="299"/>
        <v>0</v>
      </c>
      <c r="AC711" s="121">
        <f t="shared" si="299"/>
        <v>0</v>
      </c>
      <c r="AD711" s="121">
        <f t="shared" si="299"/>
        <v>0</v>
      </c>
    </row>
    <row r="712" spans="1:30" s="63" customFormat="1" outlineLevel="1">
      <c r="B712" s="13"/>
      <c r="C712" s="120"/>
      <c r="D712" s="120"/>
      <c r="E712" s="120"/>
      <c r="F712" s="120"/>
      <c r="G712" s="120"/>
      <c r="H712" s="120"/>
      <c r="I712" s="120"/>
      <c r="J712" s="120"/>
      <c r="K712" s="120"/>
      <c r="L712" s="120"/>
      <c r="M712" s="120"/>
      <c r="N712" s="120"/>
      <c r="O712" s="120"/>
      <c r="P712" s="120"/>
      <c r="Q712" s="120"/>
      <c r="R712" s="120"/>
      <c r="S712" s="120"/>
      <c r="T712" s="120"/>
      <c r="U712" s="120"/>
      <c r="V712" s="120"/>
      <c r="W712" s="120"/>
      <c r="X712" s="120"/>
      <c r="Y712" s="120"/>
      <c r="Z712" s="120"/>
      <c r="AA712" s="120"/>
      <c r="AB712" s="120"/>
      <c r="AC712" s="120"/>
      <c r="AD712" s="120"/>
    </row>
    <row r="713" spans="1:30" s="167" customFormat="1" outlineLevel="1">
      <c r="A713" s="167" t="s">
        <v>459</v>
      </c>
      <c r="B713" s="49"/>
      <c r="C713" s="168"/>
      <c r="D713" s="168"/>
      <c r="E713" s="168"/>
      <c r="F713" s="168"/>
      <c r="G713" s="168"/>
      <c r="H713" s="168"/>
      <c r="I713" s="168"/>
      <c r="J713" s="168"/>
      <c r="K713" s="168"/>
      <c r="L713" s="168"/>
      <c r="M713" s="168"/>
      <c r="N713" s="168"/>
      <c r="O713" s="168"/>
      <c r="P713" s="168"/>
      <c r="Q713" s="168"/>
      <c r="R713" s="168"/>
      <c r="S713" s="168"/>
      <c r="T713" s="168"/>
      <c r="U713" s="168"/>
      <c r="V713" s="168"/>
      <c r="W713" s="168"/>
      <c r="X713" s="168"/>
      <c r="Y713" s="168"/>
      <c r="Z713" s="168"/>
      <c r="AA713" s="168"/>
      <c r="AB713" s="168"/>
      <c r="AC713" s="168"/>
      <c r="AD713" s="168"/>
    </row>
    <row r="714" spans="1:30" s="63" customFormat="1" outlineLevel="1">
      <c r="A714" s="282" t="s">
        <v>596</v>
      </c>
      <c r="B714" s="13"/>
      <c r="C714" s="120"/>
      <c r="D714" s="120"/>
      <c r="E714" s="120"/>
      <c r="F714" s="120"/>
      <c r="G714" s="120"/>
      <c r="H714" s="120"/>
      <c r="I714" s="120"/>
      <c r="J714" s="120"/>
      <c r="K714" s="120"/>
      <c r="L714" s="120"/>
      <c r="M714" s="120"/>
      <c r="N714" s="120"/>
      <c r="O714" s="120"/>
      <c r="P714" s="120"/>
      <c r="Q714" s="120"/>
      <c r="R714" s="120"/>
      <c r="S714" s="120"/>
      <c r="T714" s="120"/>
      <c r="U714" s="120"/>
      <c r="V714" s="120"/>
      <c r="W714" s="120"/>
      <c r="X714" s="120"/>
      <c r="Y714" s="120"/>
      <c r="Z714" s="120"/>
      <c r="AA714" s="120"/>
      <c r="AB714" s="120"/>
      <c r="AC714" s="120"/>
      <c r="AD714" s="120"/>
    </row>
    <row r="715" spans="1:30" s="63" customFormat="1" outlineLevel="1">
      <c r="A715" s="282" t="s">
        <v>597</v>
      </c>
      <c r="B715" s="13"/>
      <c r="C715" s="120"/>
      <c r="D715" s="120"/>
      <c r="E715" s="120"/>
      <c r="F715" s="120"/>
      <c r="G715" s="120"/>
      <c r="H715" s="120"/>
      <c r="I715" s="120"/>
      <c r="J715" s="120"/>
      <c r="K715" s="120"/>
      <c r="L715" s="120"/>
      <c r="M715" s="120"/>
      <c r="N715" s="120"/>
      <c r="O715" s="120"/>
      <c r="P715" s="120"/>
      <c r="Q715" s="120"/>
      <c r="R715" s="120"/>
      <c r="S715" s="120"/>
      <c r="T715" s="120"/>
      <c r="U715" s="120"/>
      <c r="V715" s="120"/>
      <c r="W715" s="120"/>
      <c r="X715" s="120"/>
      <c r="Y715" s="120"/>
      <c r="Z715" s="120"/>
      <c r="AA715" s="120"/>
      <c r="AB715" s="120"/>
      <c r="AC715" s="120"/>
      <c r="AD715" s="120"/>
    </row>
    <row r="716" spans="1:30" s="63" customFormat="1" outlineLevel="1">
      <c r="A716" s="282" t="s">
        <v>598</v>
      </c>
      <c r="B716" s="13"/>
      <c r="C716" s="120"/>
      <c r="D716" s="120"/>
      <c r="E716" s="120"/>
      <c r="F716" s="120"/>
      <c r="G716" s="120"/>
      <c r="H716" s="120"/>
      <c r="I716" s="120"/>
      <c r="J716" s="120"/>
      <c r="K716" s="120"/>
      <c r="L716" s="120"/>
      <c r="M716" s="120"/>
      <c r="N716" s="120"/>
      <c r="O716" s="120"/>
      <c r="P716" s="120"/>
      <c r="Q716" s="120"/>
      <c r="R716" s="120"/>
      <c r="S716" s="120"/>
      <c r="T716" s="120"/>
      <c r="U716" s="120"/>
      <c r="V716" s="120"/>
      <c r="W716" s="120"/>
      <c r="X716" s="120"/>
      <c r="Y716" s="120"/>
      <c r="Z716" s="120"/>
      <c r="AA716" s="120"/>
      <c r="AB716" s="120"/>
      <c r="AC716" s="120"/>
      <c r="AD716" s="120"/>
    </row>
    <row r="717" spans="1:30" s="63" customFormat="1" ht="13.5" outlineLevel="1" thickBot="1">
      <c r="A717" s="282" t="s">
        <v>599</v>
      </c>
      <c r="B717" s="13"/>
      <c r="C717" s="120"/>
      <c r="D717" s="120"/>
      <c r="E717" s="120"/>
      <c r="F717" s="120"/>
      <c r="G717" s="120"/>
      <c r="H717" s="120"/>
      <c r="I717" s="120"/>
      <c r="J717" s="120"/>
      <c r="K717" s="120"/>
      <c r="L717" s="120"/>
      <c r="M717" s="120"/>
      <c r="N717" s="120"/>
      <c r="O717" s="120"/>
      <c r="P717" s="120"/>
      <c r="Q717" s="120"/>
      <c r="R717" s="120"/>
      <c r="S717" s="120"/>
      <c r="T717" s="120"/>
      <c r="U717" s="120"/>
      <c r="V717" s="120"/>
      <c r="W717" s="120"/>
      <c r="X717" s="120"/>
      <c r="Y717" s="120"/>
      <c r="Z717" s="120"/>
      <c r="AA717" s="120"/>
      <c r="AB717" s="120"/>
      <c r="AC717" s="120"/>
      <c r="AD717" s="120"/>
    </row>
    <row r="718" spans="1:30" s="63" customFormat="1" ht="13.5" outlineLevel="1" thickBot="1">
      <c r="A718" s="63" t="s">
        <v>473</v>
      </c>
      <c r="B718" s="13"/>
      <c r="C718" s="120"/>
      <c r="D718" s="306">
        <v>-23</v>
      </c>
      <c r="E718" s="120">
        <f t="shared" ref="E718:AD718" si="300">D720</f>
        <v>-36.799999999999997</v>
      </c>
      <c r="F718" s="120">
        <f t="shared" si="300"/>
        <v>-317.55</v>
      </c>
      <c r="G718" s="120">
        <f t="shared" si="300"/>
        <v>-710.01636157423877</v>
      </c>
      <c r="H718" s="120">
        <f t="shared" si="300"/>
        <v>-647.83784888666435</v>
      </c>
      <c r="I718" s="120">
        <f t="shared" si="300"/>
        <v>-599.70347554831358</v>
      </c>
      <c r="J718" s="120">
        <f t="shared" si="300"/>
        <v>-503.55275956483911</v>
      </c>
      <c r="K718" s="120">
        <f t="shared" si="300"/>
        <v>-451.00215551818985</v>
      </c>
      <c r="L718" s="120">
        <f t="shared" si="300"/>
        <v>-485.36425192092872</v>
      </c>
      <c r="M718" s="120">
        <f t="shared" si="300"/>
        <v>-560.83445350630143</v>
      </c>
      <c r="N718" s="120">
        <f t="shared" si="300"/>
        <v>-637.81567490787143</v>
      </c>
      <c r="O718" s="120">
        <f t="shared" si="300"/>
        <v>-710.38957009696389</v>
      </c>
      <c r="P718" s="120">
        <f t="shared" si="300"/>
        <v>-780.80832748075193</v>
      </c>
      <c r="Q718" s="120">
        <f t="shared" si="300"/>
        <v>-793.7391042583813</v>
      </c>
      <c r="R718" s="120">
        <f t="shared" si="300"/>
        <v>-796.77400718276351</v>
      </c>
      <c r="S718" s="120">
        <f t="shared" si="300"/>
        <v>-805.67292680836636</v>
      </c>
      <c r="T718" s="120">
        <f t="shared" si="300"/>
        <v>-740.68660060354227</v>
      </c>
      <c r="U718" s="120">
        <f t="shared" si="300"/>
        <v>-942.30397211132868</v>
      </c>
      <c r="V718" s="120">
        <f t="shared" si="300"/>
        <v>-942.30397211132868</v>
      </c>
      <c r="W718" s="120">
        <f t="shared" si="300"/>
        <v>-942.30397211132868</v>
      </c>
      <c r="X718" s="120">
        <f t="shared" si="300"/>
        <v>-942.30397211132868</v>
      </c>
      <c r="Y718" s="120">
        <f t="shared" si="300"/>
        <v>-942.30397211132868</v>
      </c>
      <c r="Z718" s="120">
        <f t="shared" si="300"/>
        <v>-942.30397211132868</v>
      </c>
      <c r="AA718" s="120">
        <f t="shared" si="300"/>
        <v>-942.30397211132868</v>
      </c>
      <c r="AB718" s="120">
        <f t="shared" si="300"/>
        <v>-942.30397211132868</v>
      </c>
      <c r="AC718" s="120">
        <f t="shared" si="300"/>
        <v>-942.30397211132868</v>
      </c>
      <c r="AD718" s="120">
        <f t="shared" si="300"/>
        <v>-942.30397211132868</v>
      </c>
    </row>
    <row r="719" spans="1:30" s="63" customFormat="1" outlineLevel="1">
      <c r="A719" s="63" t="s">
        <v>471</v>
      </c>
      <c r="B719" s="13"/>
      <c r="C719" s="120"/>
      <c r="D719" s="120">
        <f>D711+D718</f>
        <v>-36.799999999999997</v>
      </c>
      <c r="E719" s="120">
        <f t="shared" ref="E719:AD719" si="301">E711+E718</f>
        <v>-317.55</v>
      </c>
      <c r="F719" s="120">
        <f t="shared" si="301"/>
        <v>-710.01636157423877</v>
      </c>
      <c r="G719" s="120">
        <f t="shared" si="301"/>
        <v>-647.83784888666435</v>
      </c>
      <c r="H719" s="120">
        <f t="shared" si="301"/>
        <v>-599.70347554831358</v>
      </c>
      <c r="I719" s="120">
        <f t="shared" si="301"/>
        <v>-503.55275956483911</v>
      </c>
      <c r="J719" s="120">
        <f t="shared" si="301"/>
        <v>-451.00215551818985</v>
      </c>
      <c r="K719" s="120">
        <f t="shared" si="301"/>
        <v>-485.36425192092872</v>
      </c>
      <c r="L719" s="120">
        <f t="shared" si="301"/>
        <v>-560.83445350630143</v>
      </c>
      <c r="M719" s="120">
        <f t="shared" si="301"/>
        <v>-637.81567490787143</v>
      </c>
      <c r="N719" s="120">
        <f t="shared" si="301"/>
        <v>-710.38957009696389</v>
      </c>
      <c r="O719" s="120">
        <f t="shared" si="301"/>
        <v>-780.80832748075193</v>
      </c>
      <c r="P719" s="120">
        <f t="shared" si="301"/>
        <v>-793.7391042583813</v>
      </c>
      <c r="Q719" s="120">
        <f t="shared" si="301"/>
        <v>-796.77400718276351</v>
      </c>
      <c r="R719" s="120">
        <f t="shared" si="301"/>
        <v>-805.67292680836636</v>
      </c>
      <c r="S719" s="120">
        <f t="shared" si="301"/>
        <v>-740.68660060354227</v>
      </c>
      <c r="T719" s="120">
        <f t="shared" si="301"/>
        <v>-942.30397211132868</v>
      </c>
      <c r="U719" s="120">
        <f t="shared" si="301"/>
        <v>-942.30397211132868</v>
      </c>
      <c r="V719" s="120">
        <f t="shared" si="301"/>
        <v>-942.30397211132868</v>
      </c>
      <c r="W719" s="120">
        <f t="shared" si="301"/>
        <v>-942.30397211132868</v>
      </c>
      <c r="X719" s="120">
        <f t="shared" si="301"/>
        <v>-942.30397211132868</v>
      </c>
      <c r="Y719" s="120">
        <f t="shared" si="301"/>
        <v>-942.30397211132868</v>
      </c>
      <c r="Z719" s="120">
        <f t="shared" si="301"/>
        <v>-942.30397211132868</v>
      </c>
      <c r="AA719" s="120">
        <f t="shared" si="301"/>
        <v>-942.30397211132868</v>
      </c>
      <c r="AB719" s="120">
        <f t="shared" si="301"/>
        <v>-942.30397211132868</v>
      </c>
      <c r="AC719" s="120">
        <f t="shared" si="301"/>
        <v>-942.30397211132868</v>
      </c>
      <c r="AD719" s="120">
        <f t="shared" si="301"/>
        <v>-942.30397211132868</v>
      </c>
    </row>
    <row r="720" spans="1:30" s="63" customFormat="1" outlineLevel="1">
      <c r="A720" s="63" t="s">
        <v>472</v>
      </c>
      <c r="B720" s="13"/>
      <c r="C720" s="120"/>
      <c r="D720" s="120">
        <f>IF(D719&gt;0,0,D719)</f>
        <v>-36.799999999999997</v>
      </c>
      <c r="E720" s="120">
        <f t="shared" ref="E720:AD720" si="302">IF(E719&gt;0,0,E719)</f>
        <v>-317.55</v>
      </c>
      <c r="F720" s="120">
        <f t="shared" si="302"/>
        <v>-710.01636157423877</v>
      </c>
      <c r="G720" s="120">
        <f t="shared" si="302"/>
        <v>-647.83784888666435</v>
      </c>
      <c r="H720" s="120">
        <f t="shared" si="302"/>
        <v>-599.70347554831358</v>
      </c>
      <c r="I720" s="120">
        <f t="shared" si="302"/>
        <v>-503.55275956483911</v>
      </c>
      <c r="J720" s="120">
        <f t="shared" si="302"/>
        <v>-451.00215551818985</v>
      </c>
      <c r="K720" s="120">
        <f t="shared" si="302"/>
        <v>-485.36425192092872</v>
      </c>
      <c r="L720" s="120">
        <f t="shared" si="302"/>
        <v>-560.83445350630143</v>
      </c>
      <c r="M720" s="120">
        <f t="shared" si="302"/>
        <v>-637.81567490787143</v>
      </c>
      <c r="N720" s="120">
        <f t="shared" si="302"/>
        <v>-710.38957009696389</v>
      </c>
      <c r="O720" s="120">
        <f t="shared" si="302"/>
        <v>-780.80832748075193</v>
      </c>
      <c r="P720" s="120">
        <f t="shared" si="302"/>
        <v>-793.7391042583813</v>
      </c>
      <c r="Q720" s="120">
        <f t="shared" si="302"/>
        <v>-796.77400718276351</v>
      </c>
      <c r="R720" s="120">
        <f t="shared" si="302"/>
        <v>-805.67292680836636</v>
      </c>
      <c r="S720" s="120">
        <f t="shared" si="302"/>
        <v>-740.68660060354227</v>
      </c>
      <c r="T720" s="120">
        <f t="shared" si="302"/>
        <v>-942.30397211132868</v>
      </c>
      <c r="U720" s="120">
        <f t="shared" si="302"/>
        <v>-942.30397211132868</v>
      </c>
      <c r="V720" s="120">
        <f t="shared" si="302"/>
        <v>-942.30397211132868</v>
      </c>
      <c r="W720" s="120">
        <f t="shared" si="302"/>
        <v>-942.30397211132868</v>
      </c>
      <c r="X720" s="120">
        <f t="shared" si="302"/>
        <v>-942.30397211132868</v>
      </c>
      <c r="Y720" s="120">
        <f t="shared" si="302"/>
        <v>-942.30397211132868</v>
      </c>
      <c r="Z720" s="120">
        <f t="shared" si="302"/>
        <v>-942.30397211132868</v>
      </c>
      <c r="AA720" s="120">
        <f t="shared" si="302"/>
        <v>-942.30397211132868</v>
      </c>
      <c r="AB720" s="120">
        <f t="shared" si="302"/>
        <v>-942.30397211132868</v>
      </c>
      <c r="AC720" s="120">
        <f t="shared" si="302"/>
        <v>-942.30397211132868</v>
      </c>
      <c r="AD720" s="120">
        <f t="shared" si="302"/>
        <v>-942.30397211132868</v>
      </c>
    </row>
    <row r="721" spans="1:30" s="63" customFormat="1" outlineLevel="1">
      <c r="A721" s="63" t="s">
        <v>86</v>
      </c>
      <c r="B721" s="13" t="s">
        <v>284</v>
      </c>
      <c r="C721" s="120">
        <f>SUM(D721:AD721)</f>
        <v>0</v>
      </c>
      <c r="D721" s="121">
        <f t="shared" ref="D721:AD721" si="303">IF(D719&gt;0,D719,0)</f>
        <v>0</v>
      </c>
      <c r="E721" s="121">
        <f t="shared" si="303"/>
        <v>0</v>
      </c>
      <c r="F721" s="121">
        <f t="shared" si="303"/>
        <v>0</v>
      </c>
      <c r="G721" s="121">
        <f t="shared" si="303"/>
        <v>0</v>
      </c>
      <c r="H721" s="121">
        <f t="shared" si="303"/>
        <v>0</v>
      </c>
      <c r="I721" s="121">
        <f t="shared" si="303"/>
        <v>0</v>
      </c>
      <c r="J721" s="121">
        <f t="shared" si="303"/>
        <v>0</v>
      </c>
      <c r="K721" s="121">
        <f t="shared" si="303"/>
        <v>0</v>
      </c>
      <c r="L721" s="121">
        <f t="shared" si="303"/>
        <v>0</v>
      </c>
      <c r="M721" s="121">
        <f t="shared" si="303"/>
        <v>0</v>
      </c>
      <c r="N721" s="121">
        <f t="shared" si="303"/>
        <v>0</v>
      </c>
      <c r="O721" s="121">
        <f t="shared" si="303"/>
        <v>0</v>
      </c>
      <c r="P721" s="121">
        <f t="shared" si="303"/>
        <v>0</v>
      </c>
      <c r="Q721" s="121">
        <f t="shared" si="303"/>
        <v>0</v>
      </c>
      <c r="R721" s="121">
        <f t="shared" si="303"/>
        <v>0</v>
      </c>
      <c r="S721" s="121">
        <f t="shared" si="303"/>
        <v>0</v>
      </c>
      <c r="T721" s="121">
        <f t="shared" si="303"/>
        <v>0</v>
      </c>
      <c r="U721" s="121">
        <f t="shared" si="303"/>
        <v>0</v>
      </c>
      <c r="V721" s="121">
        <f t="shared" si="303"/>
        <v>0</v>
      </c>
      <c r="W721" s="121">
        <f t="shared" si="303"/>
        <v>0</v>
      </c>
      <c r="X721" s="121">
        <f t="shared" si="303"/>
        <v>0</v>
      </c>
      <c r="Y721" s="121">
        <f t="shared" si="303"/>
        <v>0</v>
      </c>
      <c r="Z721" s="121">
        <f t="shared" si="303"/>
        <v>0</v>
      </c>
      <c r="AA721" s="121">
        <f t="shared" si="303"/>
        <v>0</v>
      </c>
      <c r="AB721" s="121">
        <f t="shared" si="303"/>
        <v>0</v>
      </c>
      <c r="AC721" s="121">
        <f t="shared" si="303"/>
        <v>0</v>
      </c>
      <c r="AD721" s="121">
        <f t="shared" si="303"/>
        <v>0</v>
      </c>
    </row>
    <row r="722" spans="1:30" ht="16.25" customHeight="1" outlineLevel="1">
      <c r="B722" s="96"/>
      <c r="C722" s="102"/>
      <c r="D722" s="15"/>
      <c r="E722" s="15"/>
      <c r="F722" s="15"/>
      <c r="G722" s="15"/>
      <c r="H722" s="15"/>
      <c r="I722" s="15"/>
      <c r="J722" s="15"/>
      <c r="K722" s="15"/>
      <c r="L722" s="15"/>
      <c r="M722" s="15"/>
      <c r="N722" s="15"/>
      <c r="O722" s="15"/>
      <c r="P722" s="15"/>
      <c r="Q722" s="15"/>
      <c r="R722" s="15"/>
      <c r="S722" s="15"/>
      <c r="T722" s="15"/>
      <c r="U722" s="15"/>
      <c r="V722" s="15"/>
      <c r="W722" s="15"/>
      <c r="X722" s="15"/>
      <c r="Y722" s="15"/>
      <c r="Z722" s="15"/>
      <c r="AA722" s="15"/>
      <c r="AB722" s="15"/>
      <c r="AC722" s="15"/>
      <c r="AD722" s="15"/>
    </row>
    <row r="723" spans="1:30" s="167" customFormat="1" outlineLevel="1">
      <c r="A723" s="167" t="s">
        <v>474</v>
      </c>
      <c r="B723" s="49"/>
      <c r="C723" s="168"/>
      <c r="D723" s="168"/>
      <c r="E723" s="168"/>
      <c r="F723" s="168"/>
      <c r="G723" s="168"/>
      <c r="H723" s="168"/>
      <c r="I723" s="168"/>
      <c r="J723" s="168"/>
      <c r="K723" s="168"/>
      <c r="L723" s="168"/>
      <c r="M723" s="168"/>
      <c r="N723" s="168"/>
      <c r="O723" s="168"/>
      <c r="P723" s="168"/>
      <c r="Q723" s="168"/>
      <c r="R723" s="168"/>
      <c r="S723" s="168"/>
      <c r="T723" s="168"/>
      <c r="U723" s="168"/>
      <c r="V723" s="168"/>
      <c r="W723" s="168"/>
      <c r="X723" s="168"/>
      <c r="Y723" s="168"/>
      <c r="Z723" s="168"/>
      <c r="AA723" s="168"/>
      <c r="AB723" s="168"/>
      <c r="AC723" s="168"/>
      <c r="AD723" s="168"/>
    </row>
    <row r="724" spans="1:30" outlineLevel="1">
      <c r="A724" s="247" t="str">
        <f>'Expected NPV &amp; Common Data'!A95</f>
        <v>2 December 2025: National Taxation Office website : Zero taxation on first A$3 million assessable income then 25%</v>
      </c>
      <c r="D724" s="15"/>
      <c r="E724" s="15"/>
      <c r="F724" s="15"/>
      <c r="G724" s="15"/>
      <c r="H724" s="15"/>
      <c r="I724" s="15"/>
      <c r="J724" s="15"/>
      <c r="K724" s="15"/>
      <c r="L724" s="15"/>
      <c r="M724" s="15"/>
      <c r="N724" s="15"/>
      <c r="O724" s="15"/>
      <c r="P724" s="15"/>
      <c r="Q724" s="15"/>
      <c r="R724" s="15"/>
      <c r="S724" s="15"/>
      <c r="T724" s="15"/>
      <c r="U724" s="15"/>
      <c r="V724" s="15"/>
      <c r="W724" s="15"/>
      <c r="X724" s="15"/>
      <c r="Y724" s="15"/>
      <c r="Z724" s="15"/>
      <c r="AA724" s="15"/>
      <c r="AB724" s="15"/>
      <c r="AC724" s="15"/>
      <c r="AD724" s="15"/>
    </row>
    <row r="725" spans="1:30" s="63" customFormat="1" outlineLevel="1">
      <c r="A725" s="282" t="s">
        <v>600</v>
      </c>
      <c r="B725" s="13"/>
      <c r="C725" s="120"/>
      <c r="D725" s="120"/>
      <c r="E725" s="120"/>
      <c r="F725" s="120"/>
      <c r="G725" s="120"/>
      <c r="H725" s="120"/>
      <c r="I725" s="120"/>
      <c r="J725" s="120"/>
      <c r="K725" s="120"/>
      <c r="L725" s="120"/>
      <c r="M725" s="120"/>
      <c r="N725" s="120"/>
      <c r="O725" s="120"/>
      <c r="P725" s="120"/>
      <c r="Q725" s="120"/>
      <c r="R725" s="120"/>
      <c r="S725" s="120"/>
      <c r="T725" s="120"/>
      <c r="U725" s="120"/>
      <c r="V725" s="120"/>
      <c r="W725" s="120"/>
      <c r="X725" s="120"/>
      <c r="Y725" s="120"/>
      <c r="Z725" s="120"/>
      <c r="AA725" s="120"/>
      <c r="AB725" s="120"/>
      <c r="AC725" s="120"/>
      <c r="AD725" s="120"/>
    </row>
    <row r="726" spans="1:30" s="310" customFormat="1" outlineLevel="1">
      <c r="A726" s="247" t="str">
        <f>'Expected NPV &amp; Common Data'!A96</f>
        <v>Assessable income threshold</v>
      </c>
      <c r="B726" s="307" t="str">
        <f>'Expected NPV &amp; Common Data'!B96</f>
        <v>A$ million</v>
      </c>
      <c r="C726" s="308"/>
      <c r="D726" s="309">
        <f>'Expected NPV &amp; Common Data'!D96</f>
        <v>3</v>
      </c>
      <c r="E726" s="309">
        <f>'Expected NPV &amp; Common Data'!E96</f>
        <v>3</v>
      </c>
      <c r="F726" s="309">
        <f>'Expected NPV &amp; Common Data'!F96</f>
        <v>3</v>
      </c>
      <c r="G726" s="309">
        <f>'Expected NPV &amp; Common Data'!G96</f>
        <v>3</v>
      </c>
      <c r="H726" s="309">
        <f>'Expected NPV &amp; Common Data'!H96</f>
        <v>3</v>
      </c>
      <c r="I726" s="309">
        <f>'Expected NPV &amp; Common Data'!I96</f>
        <v>3</v>
      </c>
      <c r="J726" s="309">
        <f>'Expected NPV &amp; Common Data'!J96</f>
        <v>3</v>
      </c>
      <c r="K726" s="309">
        <f>'Expected NPV &amp; Common Data'!K96</f>
        <v>3</v>
      </c>
      <c r="L726" s="309">
        <f>'Expected NPV &amp; Common Data'!L96</f>
        <v>3</v>
      </c>
      <c r="M726" s="309">
        <f>'Expected NPV &amp; Common Data'!M96</f>
        <v>3</v>
      </c>
      <c r="N726" s="309">
        <f>'Expected NPV &amp; Common Data'!N96</f>
        <v>3</v>
      </c>
      <c r="O726" s="309">
        <f>'Expected NPV &amp; Common Data'!O96</f>
        <v>3</v>
      </c>
      <c r="P726" s="309">
        <f>'Expected NPV &amp; Common Data'!P96</f>
        <v>3</v>
      </c>
      <c r="Q726" s="309">
        <f>'Expected NPV &amp; Common Data'!Q96</f>
        <v>3</v>
      </c>
      <c r="R726" s="309">
        <f>'Expected NPV &amp; Common Data'!R96</f>
        <v>3</v>
      </c>
      <c r="S726" s="309">
        <f>'Expected NPV &amp; Common Data'!S96</f>
        <v>3</v>
      </c>
      <c r="T726" s="309">
        <f>'Expected NPV &amp; Common Data'!T96</f>
        <v>3</v>
      </c>
      <c r="U726" s="309">
        <f>'Expected NPV &amp; Common Data'!U96</f>
        <v>3</v>
      </c>
      <c r="V726" s="309">
        <f>'Expected NPV &amp; Common Data'!V96</f>
        <v>3</v>
      </c>
      <c r="W726" s="309">
        <f>'Expected NPV &amp; Common Data'!W96</f>
        <v>3</v>
      </c>
      <c r="X726" s="309">
        <f>'Expected NPV &amp; Common Data'!X96</f>
        <v>3</v>
      </c>
      <c r="Y726" s="309">
        <f>'Expected NPV &amp; Common Data'!Y96</f>
        <v>3</v>
      </c>
      <c r="Z726" s="309">
        <f>'Expected NPV &amp; Common Data'!Z96</f>
        <v>3</v>
      </c>
      <c r="AA726" s="309">
        <f>'Expected NPV &amp; Common Data'!AA96</f>
        <v>3</v>
      </c>
      <c r="AB726" s="309">
        <f>'Expected NPV &amp; Common Data'!AB96</f>
        <v>3</v>
      </c>
      <c r="AC726" s="309">
        <f>'Expected NPV &amp; Common Data'!AC96</f>
        <v>3</v>
      </c>
      <c r="AD726" s="309">
        <f>'Expected NPV &amp; Common Data'!AD96</f>
        <v>3</v>
      </c>
    </row>
    <row r="727" spans="1:30" outlineLevel="1">
      <c r="A727" s="247" t="str">
        <f>'Expected NPV &amp; Common Data'!A97</f>
        <v>Threshold tax rate</v>
      </c>
      <c r="B727" s="247" t="str">
        <f>'Expected NPV &amp; Common Data'!B97</f>
        <v>% assessable income</v>
      </c>
      <c r="C727" s="248"/>
      <c r="D727" s="262">
        <f>'Expected NPV &amp; Common Data'!D97</f>
        <v>0.1</v>
      </c>
      <c r="E727" s="262">
        <f>'Expected NPV &amp; Common Data'!E97</f>
        <v>0.1</v>
      </c>
      <c r="F727" s="262">
        <f>'Expected NPV &amp; Common Data'!F97</f>
        <v>0.1</v>
      </c>
      <c r="G727" s="262">
        <f>'Expected NPV &amp; Common Data'!G97</f>
        <v>0.1</v>
      </c>
      <c r="H727" s="262">
        <f>'Expected NPV &amp; Common Data'!H97</f>
        <v>0.1</v>
      </c>
      <c r="I727" s="262">
        <f>'Expected NPV &amp; Common Data'!I97</f>
        <v>0.1</v>
      </c>
      <c r="J727" s="262">
        <f>'Expected NPV &amp; Common Data'!J97</f>
        <v>0.1</v>
      </c>
      <c r="K727" s="262">
        <f>'Expected NPV &amp; Common Data'!K97</f>
        <v>0.1</v>
      </c>
      <c r="L727" s="262">
        <f>'Expected NPV &amp; Common Data'!L97</f>
        <v>0.1</v>
      </c>
      <c r="M727" s="262">
        <f>'Expected NPV &amp; Common Data'!M97</f>
        <v>0.1</v>
      </c>
      <c r="N727" s="262">
        <f>'Expected NPV &amp; Common Data'!N97</f>
        <v>0.1</v>
      </c>
      <c r="O727" s="262">
        <f>'Expected NPV &amp; Common Data'!O97</f>
        <v>0.1</v>
      </c>
      <c r="P727" s="262">
        <f>'Expected NPV &amp; Common Data'!P97</f>
        <v>0.1</v>
      </c>
      <c r="Q727" s="262">
        <f>'Expected NPV &amp; Common Data'!Q97</f>
        <v>0.1</v>
      </c>
      <c r="R727" s="262">
        <f>'Expected NPV &amp; Common Data'!R97</f>
        <v>0.1</v>
      </c>
      <c r="S727" s="262">
        <f>'Expected NPV &amp; Common Data'!S97</f>
        <v>0.1</v>
      </c>
      <c r="T727" s="262">
        <f>'Expected NPV &amp; Common Data'!T97</f>
        <v>0.1</v>
      </c>
      <c r="U727" s="262">
        <f>'Expected NPV &amp; Common Data'!U97</f>
        <v>0.1</v>
      </c>
      <c r="V727" s="262">
        <f>'Expected NPV &amp; Common Data'!V97</f>
        <v>0.1</v>
      </c>
      <c r="W727" s="262">
        <f>'Expected NPV &amp; Common Data'!W97</f>
        <v>0.1</v>
      </c>
      <c r="X727" s="262">
        <f>'Expected NPV &amp; Common Data'!X97</f>
        <v>0.1</v>
      </c>
      <c r="Y727" s="262">
        <f>'Expected NPV &amp; Common Data'!Y97</f>
        <v>0.1</v>
      </c>
      <c r="Z727" s="262">
        <f>'Expected NPV &amp; Common Data'!Z97</f>
        <v>0.1</v>
      </c>
      <c r="AA727" s="262">
        <f>'Expected NPV &amp; Common Data'!AA97</f>
        <v>0.1</v>
      </c>
      <c r="AB727" s="262">
        <f>'Expected NPV &amp; Common Data'!AB97</f>
        <v>0.1</v>
      </c>
      <c r="AC727" s="262">
        <f>'Expected NPV &amp; Common Data'!AC97</f>
        <v>0.1</v>
      </c>
      <c r="AD727" s="262">
        <f>'Expected NPV &amp; Common Data'!AD97</f>
        <v>0.1</v>
      </c>
    </row>
    <row r="728" spans="1:30" outlineLevel="1">
      <c r="A728" s="45" t="s">
        <v>146</v>
      </c>
      <c r="B728" s="13" t="s">
        <v>284</v>
      </c>
      <c r="C728" s="42">
        <f>SUM(D728:AD728)</f>
        <v>0</v>
      </c>
      <c r="D728" s="56">
        <f>MIN(D721,D726)</f>
        <v>0</v>
      </c>
      <c r="E728" s="56">
        <f t="shared" ref="E728:AD728" si="304">MIN(E721,E726)</f>
        <v>0</v>
      </c>
      <c r="F728" s="56">
        <f t="shared" si="304"/>
        <v>0</v>
      </c>
      <c r="G728" s="56">
        <f t="shared" si="304"/>
        <v>0</v>
      </c>
      <c r="H728" s="56">
        <f t="shared" si="304"/>
        <v>0</v>
      </c>
      <c r="I728" s="56">
        <f t="shared" si="304"/>
        <v>0</v>
      </c>
      <c r="J728" s="56">
        <f t="shared" si="304"/>
        <v>0</v>
      </c>
      <c r="K728" s="56">
        <f t="shared" si="304"/>
        <v>0</v>
      </c>
      <c r="L728" s="56">
        <f t="shared" si="304"/>
        <v>0</v>
      </c>
      <c r="M728" s="56">
        <f t="shared" si="304"/>
        <v>0</v>
      </c>
      <c r="N728" s="56">
        <f t="shared" si="304"/>
        <v>0</v>
      </c>
      <c r="O728" s="56">
        <f t="shared" si="304"/>
        <v>0</v>
      </c>
      <c r="P728" s="56">
        <f t="shared" si="304"/>
        <v>0</v>
      </c>
      <c r="Q728" s="56">
        <f t="shared" si="304"/>
        <v>0</v>
      </c>
      <c r="R728" s="56">
        <f t="shared" si="304"/>
        <v>0</v>
      </c>
      <c r="S728" s="56">
        <f t="shared" si="304"/>
        <v>0</v>
      </c>
      <c r="T728" s="56">
        <f t="shared" si="304"/>
        <v>0</v>
      </c>
      <c r="U728" s="56">
        <f t="shared" si="304"/>
        <v>0</v>
      </c>
      <c r="V728" s="56">
        <f t="shared" si="304"/>
        <v>0</v>
      </c>
      <c r="W728" s="56">
        <f t="shared" si="304"/>
        <v>0</v>
      </c>
      <c r="X728" s="56">
        <f t="shared" si="304"/>
        <v>0</v>
      </c>
      <c r="Y728" s="56">
        <f t="shared" si="304"/>
        <v>0</v>
      </c>
      <c r="Z728" s="56">
        <f t="shared" si="304"/>
        <v>0</v>
      </c>
      <c r="AA728" s="56">
        <f t="shared" si="304"/>
        <v>0</v>
      </c>
      <c r="AB728" s="56">
        <f t="shared" si="304"/>
        <v>0</v>
      </c>
      <c r="AC728" s="56">
        <f t="shared" si="304"/>
        <v>0</v>
      </c>
      <c r="AD728" s="56">
        <f t="shared" si="304"/>
        <v>0</v>
      </c>
    </row>
    <row r="729" spans="1:30" outlineLevel="1">
      <c r="A729" s="45" t="s">
        <v>144</v>
      </c>
      <c r="B729" s="13" t="s">
        <v>284</v>
      </c>
      <c r="C729" s="42">
        <f>SUM(D729:AD729)</f>
        <v>0</v>
      </c>
      <c r="D729" s="101">
        <f t="shared" ref="D729:AD729" si="305">D727*D728</f>
        <v>0</v>
      </c>
      <c r="E729" s="101">
        <f t="shared" si="305"/>
        <v>0</v>
      </c>
      <c r="F729" s="101">
        <f t="shared" si="305"/>
        <v>0</v>
      </c>
      <c r="G729" s="101">
        <f t="shared" si="305"/>
        <v>0</v>
      </c>
      <c r="H729" s="101">
        <f t="shared" si="305"/>
        <v>0</v>
      </c>
      <c r="I729" s="101">
        <f t="shared" si="305"/>
        <v>0</v>
      </c>
      <c r="J729" s="101">
        <f t="shared" si="305"/>
        <v>0</v>
      </c>
      <c r="K729" s="101">
        <f t="shared" si="305"/>
        <v>0</v>
      </c>
      <c r="L729" s="101">
        <f t="shared" si="305"/>
        <v>0</v>
      </c>
      <c r="M729" s="101">
        <f t="shared" si="305"/>
        <v>0</v>
      </c>
      <c r="N729" s="101">
        <f t="shared" si="305"/>
        <v>0</v>
      </c>
      <c r="O729" s="101">
        <f t="shared" si="305"/>
        <v>0</v>
      </c>
      <c r="P729" s="101">
        <f t="shared" si="305"/>
        <v>0</v>
      </c>
      <c r="Q729" s="101">
        <f t="shared" si="305"/>
        <v>0</v>
      </c>
      <c r="R729" s="101">
        <f t="shared" si="305"/>
        <v>0</v>
      </c>
      <c r="S729" s="101">
        <f t="shared" si="305"/>
        <v>0</v>
      </c>
      <c r="T729" s="101">
        <f t="shared" si="305"/>
        <v>0</v>
      </c>
      <c r="U729" s="101">
        <f t="shared" si="305"/>
        <v>0</v>
      </c>
      <c r="V729" s="101">
        <f t="shared" si="305"/>
        <v>0</v>
      </c>
      <c r="W729" s="101">
        <f t="shared" si="305"/>
        <v>0</v>
      </c>
      <c r="X729" s="101">
        <f t="shared" si="305"/>
        <v>0</v>
      </c>
      <c r="Y729" s="101">
        <f t="shared" si="305"/>
        <v>0</v>
      </c>
      <c r="Z729" s="101">
        <f t="shared" si="305"/>
        <v>0</v>
      </c>
      <c r="AA729" s="101">
        <f t="shared" si="305"/>
        <v>0</v>
      </c>
      <c r="AB729" s="101">
        <f t="shared" si="305"/>
        <v>0</v>
      </c>
      <c r="AC729" s="101">
        <f t="shared" si="305"/>
        <v>0</v>
      </c>
      <c r="AD729" s="101">
        <f t="shared" si="305"/>
        <v>0</v>
      </c>
    </row>
    <row r="730" spans="1:30" outlineLevel="1">
      <c r="A730" s="45"/>
      <c r="C730" s="42"/>
      <c r="D730" s="42"/>
      <c r="E730" s="42"/>
      <c r="F730" s="42"/>
      <c r="G730" s="42"/>
      <c r="H730" s="42"/>
      <c r="I730" s="42"/>
      <c r="J730" s="42"/>
      <c r="K730" s="42"/>
      <c r="L730" s="42"/>
      <c r="M730" s="42"/>
      <c r="N730" s="42"/>
      <c r="O730" s="42"/>
      <c r="P730" s="42"/>
      <c r="Q730" s="42"/>
      <c r="R730" s="42"/>
      <c r="S730" s="42"/>
      <c r="T730" s="42"/>
      <c r="U730" s="42"/>
      <c r="V730" s="42"/>
      <c r="W730" s="42"/>
      <c r="X730" s="42"/>
      <c r="Y730" s="42"/>
      <c r="Z730" s="42"/>
      <c r="AA730" s="42"/>
      <c r="AB730" s="42"/>
      <c r="AC730" s="42"/>
      <c r="AD730" s="42"/>
    </row>
    <row r="731" spans="1:30" outlineLevel="1">
      <c r="A731" s="45" t="s">
        <v>145</v>
      </c>
      <c r="B731" s="13" t="s">
        <v>284</v>
      </c>
      <c r="C731" s="42">
        <f>SUM(D731:AD731)</f>
        <v>0</v>
      </c>
      <c r="D731" s="42">
        <f>IF(D721&gt;D726,D721-D726,0)</f>
        <v>0</v>
      </c>
      <c r="E731" s="42">
        <f t="shared" ref="E731:AD731" si="306">IF(E721&gt;E726,E721-E726,0)</f>
        <v>0</v>
      </c>
      <c r="F731" s="42">
        <f t="shared" si="306"/>
        <v>0</v>
      </c>
      <c r="G731" s="42">
        <f t="shared" si="306"/>
        <v>0</v>
      </c>
      <c r="H731" s="42">
        <f t="shared" si="306"/>
        <v>0</v>
      </c>
      <c r="I731" s="42">
        <f t="shared" si="306"/>
        <v>0</v>
      </c>
      <c r="J731" s="42">
        <f t="shared" si="306"/>
        <v>0</v>
      </c>
      <c r="K731" s="42">
        <f t="shared" si="306"/>
        <v>0</v>
      </c>
      <c r="L731" s="42">
        <f t="shared" si="306"/>
        <v>0</v>
      </c>
      <c r="M731" s="42">
        <f t="shared" si="306"/>
        <v>0</v>
      </c>
      <c r="N731" s="42">
        <f t="shared" si="306"/>
        <v>0</v>
      </c>
      <c r="O731" s="42">
        <f t="shared" si="306"/>
        <v>0</v>
      </c>
      <c r="P731" s="42">
        <f t="shared" si="306"/>
        <v>0</v>
      </c>
      <c r="Q731" s="42">
        <f t="shared" si="306"/>
        <v>0</v>
      </c>
      <c r="R731" s="42">
        <f t="shared" si="306"/>
        <v>0</v>
      </c>
      <c r="S731" s="42">
        <f t="shared" si="306"/>
        <v>0</v>
      </c>
      <c r="T731" s="42">
        <f t="shared" si="306"/>
        <v>0</v>
      </c>
      <c r="U731" s="42">
        <f t="shared" si="306"/>
        <v>0</v>
      </c>
      <c r="V731" s="42">
        <f t="shared" si="306"/>
        <v>0</v>
      </c>
      <c r="W731" s="42">
        <f t="shared" si="306"/>
        <v>0</v>
      </c>
      <c r="X731" s="42">
        <f t="shared" si="306"/>
        <v>0</v>
      </c>
      <c r="Y731" s="42">
        <f t="shared" si="306"/>
        <v>0</v>
      </c>
      <c r="Z731" s="42">
        <f t="shared" si="306"/>
        <v>0</v>
      </c>
      <c r="AA731" s="42">
        <f t="shared" si="306"/>
        <v>0</v>
      </c>
      <c r="AB731" s="42">
        <f t="shared" si="306"/>
        <v>0</v>
      </c>
      <c r="AC731" s="42">
        <f t="shared" si="306"/>
        <v>0</v>
      </c>
      <c r="AD731" s="42">
        <f t="shared" si="306"/>
        <v>0</v>
      </c>
    </row>
    <row r="732" spans="1:30" outlineLevel="1">
      <c r="A732" s="247" t="str">
        <f>'Expected NPV &amp; Common Data'!A98</f>
        <v>Nationaln general income tax rate</v>
      </c>
      <c r="B732" s="247" t="str">
        <f>'Expected NPV &amp; Common Data'!B98</f>
        <v>% assessable income</v>
      </c>
      <c r="C732" s="248"/>
      <c r="D732" s="262">
        <f>'Expected NPV &amp; Common Data'!D98</f>
        <v>0.25</v>
      </c>
      <c r="E732" s="262">
        <f>'Expected NPV &amp; Common Data'!E98</f>
        <v>0.25</v>
      </c>
      <c r="F732" s="262">
        <f>'Expected NPV &amp; Common Data'!F98</f>
        <v>0.25</v>
      </c>
      <c r="G732" s="262">
        <f>'Expected NPV &amp; Common Data'!G98</f>
        <v>0.25</v>
      </c>
      <c r="H732" s="262">
        <f>'Expected NPV &amp; Common Data'!H98</f>
        <v>0.25</v>
      </c>
      <c r="I732" s="262">
        <f>'Expected NPV &amp; Common Data'!I98</f>
        <v>0.25</v>
      </c>
      <c r="J732" s="262">
        <f>'Expected NPV &amp; Common Data'!J98</f>
        <v>0.25</v>
      </c>
      <c r="K732" s="262">
        <f>'Expected NPV &amp; Common Data'!K98</f>
        <v>0.25</v>
      </c>
      <c r="L732" s="262">
        <f>'Expected NPV &amp; Common Data'!L98</f>
        <v>0.25</v>
      </c>
      <c r="M732" s="262">
        <f>'Expected NPV &amp; Common Data'!M98</f>
        <v>0.25</v>
      </c>
      <c r="N732" s="262">
        <f>'Expected NPV &amp; Common Data'!N98</f>
        <v>0.25</v>
      </c>
      <c r="O732" s="262">
        <f>'Expected NPV &amp; Common Data'!O98</f>
        <v>0.25</v>
      </c>
      <c r="P732" s="262">
        <f>'Expected NPV &amp; Common Data'!P98</f>
        <v>0.25</v>
      </c>
      <c r="Q732" s="262">
        <f>'Expected NPV &amp; Common Data'!Q98</f>
        <v>0.25</v>
      </c>
      <c r="R732" s="262">
        <f>'Expected NPV &amp; Common Data'!R98</f>
        <v>0.25</v>
      </c>
      <c r="S732" s="262">
        <f>'Expected NPV &amp; Common Data'!S98</f>
        <v>0.25</v>
      </c>
      <c r="T732" s="262">
        <f>'Expected NPV &amp; Common Data'!T98</f>
        <v>0.25</v>
      </c>
      <c r="U732" s="262">
        <f>'Expected NPV &amp; Common Data'!U98</f>
        <v>0.25</v>
      </c>
      <c r="V732" s="262">
        <f>'Expected NPV &amp; Common Data'!V98</f>
        <v>0.25</v>
      </c>
      <c r="W732" s="262">
        <f>'Expected NPV &amp; Common Data'!W98</f>
        <v>0.25</v>
      </c>
      <c r="X732" s="262">
        <f>'Expected NPV &amp; Common Data'!X98</f>
        <v>0.25</v>
      </c>
      <c r="Y732" s="262">
        <f>'Expected NPV &amp; Common Data'!Y98</f>
        <v>0.25</v>
      </c>
      <c r="Z732" s="262">
        <f>'Expected NPV &amp; Common Data'!Z98</f>
        <v>0.25</v>
      </c>
      <c r="AA732" s="262">
        <f>'Expected NPV &amp; Common Data'!AA98</f>
        <v>0.25</v>
      </c>
      <c r="AB732" s="262">
        <f>'Expected NPV &amp; Common Data'!AB98</f>
        <v>0.25</v>
      </c>
      <c r="AC732" s="262">
        <f>'Expected NPV &amp; Common Data'!AC98</f>
        <v>0.25</v>
      </c>
      <c r="AD732" s="262">
        <f>'Expected NPV &amp; Common Data'!AD98</f>
        <v>0.25</v>
      </c>
    </row>
    <row r="733" spans="1:30" outlineLevel="1">
      <c r="A733" s="45" t="s">
        <v>147</v>
      </c>
      <c r="B733" s="13" t="s">
        <v>284</v>
      </c>
      <c r="C733" s="42">
        <f>SUM(D733:AD733)</f>
        <v>0</v>
      </c>
      <c r="D733" s="70">
        <f>D731*D732</f>
        <v>0</v>
      </c>
      <c r="E733" s="70">
        <f t="shared" ref="E733:AD733" si="307">E731*E732</f>
        <v>0</v>
      </c>
      <c r="F733" s="70">
        <f t="shared" si="307"/>
        <v>0</v>
      </c>
      <c r="G733" s="70">
        <f t="shared" si="307"/>
        <v>0</v>
      </c>
      <c r="H733" s="70">
        <f t="shared" si="307"/>
        <v>0</v>
      </c>
      <c r="I733" s="70">
        <f t="shared" si="307"/>
        <v>0</v>
      </c>
      <c r="J733" s="70">
        <f t="shared" si="307"/>
        <v>0</v>
      </c>
      <c r="K733" s="70">
        <f t="shared" si="307"/>
        <v>0</v>
      </c>
      <c r="L733" s="70">
        <f t="shared" si="307"/>
        <v>0</v>
      </c>
      <c r="M733" s="70">
        <f t="shared" si="307"/>
        <v>0</v>
      </c>
      <c r="N733" s="70">
        <f t="shared" si="307"/>
        <v>0</v>
      </c>
      <c r="O733" s="70">
        <f t="shared" si="307"/>
        <v>0</v>
      </c>
      <c r="P733" s="70">
        <f t="shared" si="307"/>
        <v>0</v>
      </c>
      <c r="Q733" s="70">
        <f t="shared" si="307"/>
        <v>0</v>
      </c>
      <c r="R733" s="70">
        <f t="shared" si="307"/>
        <v>0</v>
      </c>
      <c r="S733" s="70">
        <f t="shared" si="307"/>
        <v>0</v>
      </c>
      <c r="T733" s="70">
        <f t="shared" si="307"/>
        <v>0</v>
      </c>
      <c r="U733" s="70">
        <f t="shared" si="307"/>
        <v>0</v>
      </c>
      <c r="V733" s="70">
        <f t="shared" si="307"/>
        <v>0</v>
      </c>
      <c r="W733" s="70">
        <f t="shared" si="307"/>
        <v>0</v>
      </c>
      <c r="X733" s="70">
        <f t="shared" si="307"/>
        <v>0</v>
      </c>
      <c r="Y733" s="70">
        <f t="shared" si="307"/>
        <v>0</v>
      </c>
      <c r="Z733" s="70">
        <f t="shared" si="307"/>
        <v>0</v>
      </c>
      <c r="AA733" s="70">
        <f t="shared" si="307"/>
        <v>0</v>
      </c>
      <c r="AB733" s="70">
        <f t="shared" si="307"/>
        <v>0</v>
      </c>
      <c r="AC733" s="70">
        <f t="shared" si="307"/>
        <v>0</v>
      </c>
      <c r="AD733" s="70">
        <f t="shared" si="307"/>
        <v>0</v>
      </c>
    </row>
    <row r="734" spans="1:30" outlineLevel="1">
      <c r="A734" s="45"/>
      <c r="D734" s="42"/>
      <c r="E734" s="42"/>
      <c r="F734" s="42"/>
      <c r="G734" s="42"/>
      <c r="H734" s="42"/>
      <c r="I734" s="42"/>
      <c r="J734" s="42"/>
      <c r="K734" s="42"/>
      <c r="L734" s="42"/>
      <c r="M734" s="42"/>
      <c r="N734" s="42"/>
      <c r="O734" s="42"/>
      <c r="P734" s="42"/>
      <c r="Q734" s="42"/>
      <c r="R734" s="42"/>
      <c r="S734" s="42"/>
      <c r="T734" s="42"/>
      <c r="U734" s="42"/>
      <c r="V734" s="42"/>
      <c r="W734" s="42"/>
      <c r="X734" s="42"/>
      <c r="Y734" s="42"/>
      <c r="Z734" s="42"/>
      <c r="AA734" s="42"/>
      <c r="AB734" s="42"/>
      <c r="AC734" s="42"/>
      <c r="AD734" s="42"/>
    </row>
    <row r="735" spans="1:30" s="45" customFormat="1" ht="15.5" outlineLevel="1">
      <c r="A735" s="82" t="s">
        <v>402</v>
      </c>
      <c r="B735" s="13" t="s">
        <v>284</v>
      </c>
      <c r="C735" s="44">
        <f>SUM(D735:AD735)</f>
        <v>0</v>
      </c>
      <c r="D735" s="83">
        <f t="shared" ref="D735:AD735" si="308">D729+D733</f>
        <v>0</v>
      </c>
      <c r="E735" s="83">
        <f t="shared" si="308"/>
        <v>0</v>
      </c>
      <c r="F735" s="83">
        <f t="shared" si="308"/>
        <v>0</v>
      </c>
      <c r="G735" s="83">
        <f t="shared" si="308"/>
        <v>0</v>
      </c>
      <c r="H735" s="83">
        <f t="shared" si="308"/>
        <v>0</v>
      </c>
      <c r="I735" s="83">
        <f t="shared" si="308"/>
        <v>0</v>
      </c>
      <c r="J735" s="83">
        <f t="shared" si="308"/>
        <v>0</v>
      </c>
      <c r="K735" s="83">
        <f t="shared" si="308"/>
        <v>0</v>
      </c>
      <c r="L735" s="83">
        <f t="shared" si="308"/>
        <v>0</v>
      </c>
      <c r="M735" s="83">
        <f t="shared" si="308"/>
        <v>0</v>
      </c>
      <c r="N735" s="83">
        <f t="shared" si="308"/>
        <v>0</v>
      </c>
      <c r="O735" s="83">
        <f t="shared" si="308"/>
        <v>0</v>
      </c>
      <c r="P735" s="83">
        <f t="shared" si="308"/>
        <v>0</v>
      </c>
      <c r="Q735" s="83">
        <f t="shared" si="308"/>
        <v>0</v>
      </c>
      <c r="R735" s="83">
        <f t="shared" si="308"/>
        <v>0</v>
      </c>
      <c r="S735" s="83">
        <f t="shared" si="308"/>
        <v>0</v>
      </c>
      <c r="T735" s="83">
        <f t="shared" si="308"/>
        <v>0</v>
      </c>
      <c r="U735" s="83">
        <f t="shared" si="308"/>
        <v>0</v>
      </c>
      <c r="V735" s="83">
        <f t="shared" si="308"/>
        <v>0</v>
      </c>
      <c r="W735" s="83">
        <f t="shared" si="308"/>
        <v>0</v>
      </c>
      <c r="X735" s="83">
        <f t="shared" si="308"/>
        <v>0</v>
      </c>
      <c r="Y735" s="83">
        <f t="shared" si="308"/>
        <v>0</v>
      </c>
      <c r="Z735" s="83">
        <f t="shared" si="308"/>
        <v>0</v>
      </c>
      <c r="AA735" s="83">
        <f t="shared" si="308"/>
        <v>0</v>
      </c>
      <c r="AB735" s="83">
        <f t="shared" si="308"/>
        <v>0</v>
      </c>
      <c r="AC735" s="83">
        <f t="shared" si="308"/>
        <v>0</v>
      </c>
      <c r="AD735" s="83">
        <f t="shared" si="308"/>
        <v>0</v>
      </c>
    </row>
    <row r="736" spans="1:30" s="45" customFormat="1" outlineLevel="1">
      <c r="A736" s="59"/>
      <c r="B736" s="13"/>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c r="AA736" s="44"/>
      <c r="AB736" s="44"/>
      <c r="AC736" s="44"/>
      <c r="AD736" s="44"/>
    </row>
    <row r="737" spans="1:30" s="45" customFormat="1" ht="15.5" outlineLevel="1">
      <c r="A737" s="82" t="s">
        <v>404</v>
      </c>
      <c r="B737" s="13" t="s">
        <v>284</v>
      </c>
      <c r="C737" s="42">
        <f>SUM(D737:AD737)</f>
        <v>793.3045379607812</v>
      </c>
      <c r="D737" s="44">
        <f t="shared" ref="D737:AD737" si="309">D696+D735</f>
        <v>0</v>
      </c>
      <c r="E737" s="44">
        <f t="shared" si="309"/>
        <v>0</v>
      </c>
      <c r="F737" s="44">
        <f t="shared" si="309"/>
        <v>30.33737450761825</v>
      </c>
      <c r="G737" s="44">
        <f t="shared" si="309"/>
        <v>57.480837151279871</v>
      </c>
      <c r="H737" s="44">
        <f t="shared" si="309"/>
        <v>62.049485498587138</v>
      </c>
      <c r="I737" s="44">
        <f t="shared" si="309"/>
        <v>62.04335876447356</v>
      </c>
      <c r="J737" s="44">
        <f t="shared" si="309"/>
        <v>64.541094372854857</v>
      </c>
      <c r="K737" s="44">
        <f t="shared" si="309"/>
        <v>55.360845770895359</v>
      </c>
      <c r="L737" s="44">
        <f t="shared" si="309"/>
        <v>52.806032180848561</v>
      </c>
      <c r="M737" s="44">
        <f t="shared" si="309"/>
        <v>52.641469991671741</v>
      </c>
      <c r="N737" s="44">
        <f t="shared" si="309"/>
        <v>52.635365239511735</v>
      </c>
      <c r="O737" s="44">
        <f t="shared" si="309"/>
        <v>52.629199439830145</v>
      </c>
      <c r="P737" s="44">
        <f t="shared" si="309"/>
        <v>54.523752253564389</v>
      </c>
      <c r="Q737" s="44">
        <f t="shared" si="309"/>
        <v>46.063325495814574</v>
      </c>
      <c r="R737" s="44">
        <f t="shared" si="309"/>
        <v>45.67925814263932</v>
      </c>
      <c r="S737" s="44">
        <f t="shared" si="309"/>
        <v>45.673105664404439</v>
      </c>
      <c r="T737" s="44">
        <f t="shared" si="309"/>
        <v>58.840033486787348</v>
      </c>
      <c r="U737" s="44">
        <f t="shared" si="309"/>
        <v>0</v>
      </c>
      <c r="V737" s="44">
        <f t="shared" si="309"/>
        <v>0</v>
      </c>
      <c r="W737" s="44">
        <f t="shared" si="309"/>
        <v>0</v>
      </c>
      <c r="X737" s="44">
        <f t="shared" si="309"/>
        <v>0</v>
      </c>
      <c r="Y737" s="44">
        <f t="shared" si="309"/>
        <v>0</v>
      </c>
      <c r="Z737" s="44">
        <f t="shared" si="309"/>
        <v>0</v>
      </c>
      <c r="AA737" s="44">
        <f t="shared" si="309"/>
        <v>0</v>
      </c>
      <c r="AB737" s="44">
        <f t="shared" si="309"/>
        <v>0</v>
      </c>
      <c r="AC737" s="44">
        <f t="shared" si="309"/>
        <v>0</v>
      </c>
      <c r="AD737" s="44">
        <f t="shared" si="309"/>
        <v>0</v>
      </c>
    </row>
    <row r="738" spans="1:30" outlineLevel="1">
      <c r="A738" s="144" t="str">
        <f>A$98</f>
        <v>Forex: A$ = US$  - Low Case</v>
      </c>
      <c r="B738" s="142" t="str">
        <f>B$98</f>
        <v>A$1.00 = US$ ....</v>
      </c>
      <c r="C738" s="57"/>
      <c r="D738" s="57">
        <f t="shared" ref="D738:AD738" si="310">D$98</f>
        <v>0.6</v>
      </c>
      <c r="E738" s="57">
        <f t="shared" si="310"/>
        <v>0.6</v>
      </c>
      <c r="F738" s="57">
        <f t="shared" si="310"/>
        <v>0.6</v>
      </c>
      <c r="G738" s="57">
        <f t="shared" si="310"/>
        <v>0.6</v>
      </c>
      <c r="H738" s="57">
        <f t="shared" si="310"/>
        <v>0.6</v>
      </c>
      <c r="I738" s="57">
        <f t="shared" si="310"/>
        <v>0.6</v>
      </c>
      <c r="J738" s="57">
        <f t="shared" si="310"/>
        <v>0.6</v>
      </c>
      <c r="K738" s="57">
        <f t="shared" si="310"/>
        <v>0.6</v>
      </c>
      <c r="L738" s="57">
        <f t="shared" si="310"/>
        <v>0.6</v>
      </c>
      <c r="M738" s="57">
        <f t="shared" si="310"/>
        <v>0.6</v>
      </c>
      <c r="N738" s="57">
        <f t="shared" si="310"/>
        <v>0.6</v>
      </c>
      <c r="O738" s="57">
        <f t="shared" si="310"/>
        <v>0.6</v>
      </c>
      <c r="P738" s="57">
        <f t="shared" si="310"/>
        <v>0.6</v>
      </c>
      <c r="Q738" s="57">
        <f t="shared" si="310"/>
        <v>0.6</v>
      </c>
      <c r="R738" s="57">
        <f t="shared" si="310"/>
        <v>0.6</v>
      </c>
      <c r="S738" s="57">
        <f t="shared" si="310"/>
        <v>0.6</v>
      </c>
      <c r="T738" s="57">
        <f t="shared" si="310"/>
        <v>0.6</v>
      </c>
      <c r="U738" s="57">
        <f t="shared" si="310"/>
        <v>0.6</v>
      </c>
      <c r="V738" s="57">
        <f t="shared" si="310"/>
        <v>0.6</v>
      </c>
      <c r="W738" s="57">
        <f t="shared" si="310"/>
        <v>0.6</v>
      </c>
      <c r="X738" s="57">
        <f t="shared" si="310"/>
        <v>0.6</v>
      </c>
      <c r="Y738" s="57">
        <f t="shared" si="310"/>
        <v>0.6</v>
      </c>
      <c r="Z738" s="57">
        <f t="shared" si="310"/>
        <v>0.6</v>
      </c>
      <c r="AA738" s="57">
        <f t="shared" si="310"/>
        <v>0.6</v>
      </c>
      <c r="AB738" s="57">
        <f t="shared" si="310"/>
        <v>0.6</v>
      </c>
      <c r="AC738" s="57">
        <f t="shared" si="310"/>
        <v>0.6</v>
      </c>
      <c r="AD738" s="57">
        <f t="shared" si="310"/>
        <v>0.6</v>
      </c>
    </row>
    <row r="739" spans="1:30" s="25" customFormat="1" ht="37.25" customHeight="1">
      <c r="A739" s="26" t="str">
        <f>"Cashstream 4: Taxes - "&amp;A3</f>
        <v>Cashstream 4: Taxes - Low Case</v>
      </c>
      <c r="B739" s="32" t="s">
        <v>82</v>
      </c>
      <c r="C739" s="27">
        <f>SUM(D739:AD739)</f>
        <v>475.98272277646873</v>
      </c>
      <c r="D739" s="129">
        <f>D737*D738</f>
        <v>0</v>
      </c>
      <c r="E739" s="129">
        <f t="shared" ref="E739:AD739" si="311">E737*E738</f>
        <v>0</v>
      </c>
      <c r="F739" s="129">
        <f t="shared" si="311"/>
        <v>18.202424704570948</v>
      </c>
      <c r="G739" s="129">
        <f t="shared" si="311"/>
        <v>34.488502290767919</v>
      </c>
      <c r="H739" s="129">
        <f t="shared" si="311"/>
        <v>37.229691299152279</v>
      </c>
      <c r="I739" s="129">
        <f t="shared" si="311"/>
        <v>37.226015258684136</v>
      </c>
      <c r="J739" s="129">
        <f t="shared" si="311"/>
        <v>38.72465662371291</v>
      </c>
      <c r="K739" s="129">
        <f t="shared" si="311"/>
        <v>33.216507462537216</v>
      </c>
      <c r="L739" s="129">
        <f t="shared" si="311"/>
        <v>31.683619308509137</v>
      </c>
      <c r="M739" s="129">
        <f t="shared" si="311"/>
        <v>31.584881995003045</v>
      </c>
      <c r="N739" s="129">
        <f t="shared" si="311"/>
        <v>31.581219143707038</v>
      </c>
      <c r="O739" s="129">
        <f t="shared" si="311"/>
        <v>31.577519663898087</v>
      </c>
      <c r="P739" s="129">
        <f t="shared" si="311"/>
        <v>32.714251352138632</v>
      </c>
      <c r="Q739" s="129">
        <f t="shared" si="311"/>
        <v>27.637995297488743</v>
      </c>
      <c r="R739" s="129">
        <f t="shared" si="311"/>
        <v>27.40755488558359</v>
      </c>
      <c r="S739" s="129">
        <f t="shared" si="311"/>
        <v>27.403863398642663</v>
      </c>
      <c r="T739" s="129">
        <f t="shared" si="311"/>
        <v>35.304020092072406</v>
      </c>
      <c r="U739" s="129">
        <f t="shared" si="311"/>
        <v>0</v>
      </c>
      <c r="V739" s="129">
        <f t="shared" si="311"/>
        <v>0</v>
      </c>
      <c r="W739" s="129">
        <f t="shared" si="311"/>
        <v>0</v>
      </c>
      <c r="X739" s="129">
        <f t="shared" si="311"/>
        <v>0</v>
      </c>
      <c r="Y739" s="129">
        <f t="shared" si="311"/>
        <v>0</v>
      </c>
      <c r="Z739" s="129">
        <f t="shared" si="311"/>
        <v>0</v>
      </c>
      <c r="AA739" s="129">
        <f t="shared" si="311"/>
        <v>0</v>
      </c>
      <c r="AB739" s="129">
        <f t="shared" si="311"/>
        <v>0</v>
      </c>
      <c r="AC739" s="129">
        <f t="shared" si="311"/>
        <v>0</v>
      </c>
      <c r="AD739" s="129">
        <f t="shared" si="311"/>
        <v>0</v>
      </c>
    </row>
    <row r="740" spans="1:30">
      <c r="A740" s="14"/>
      <c r="D740" s="15"/>
      <c r="E740" s="15"/>
      <c r="F740" s="15"/>
      <c r="G740" s="15"/>
      <c r="H740" s="15"/>
      <c r="I740" s="15"/>
      <c r="J740" s="15"/>
      <c r="K740" s="15"/>
      <c r="L740" s="15"/>
      <c r="M740" s="15"/>
      <c r="N740" s="15"/>
      <c r="O740" s="15"/>
      <c r="P740" s="15"/>
      <c r="Q740" s="15"/>
      <c r="R740" s="15"/>
      <c r="S740" s="15"/>
      <c r="T740" s="15"/>
      <c r="U740" s="15"/>
      <c r="V740" s="15"/>
      <c r="W740" s="15"/>
      <c r="X740" s="15"/>
      <c r="Y740" s="15"/>
      <c r="Z740" s="15"/>
      <c r="AA740" s="15"/>
      <c r="AB740" s="15"/>
      <c r="AC740" s="15"/>
      <c r="AD740" s="15"/>
    </row>
    <row r="741" spans="1:30" s="8" customFormat="1" ht="15.5">
      <c r="A741" s="242" t="str">
        <f>'Expected NPV &amp; Common Data'!A$36</f>
        <v>Calendar Year --&gt;</v>
      </c>
      <c r="B741" s="243" t="str">
        <f>'Expected NPV &amp; Common Data'!B$36</f>
        <v>units</v>
      </c>
      <c r="C741" s="244" t="str">
        <f>'Expected NPV &amp; Common Data'!C$36</f>
        <v>Total</v>
      </c>
      <c r="D741" s="245">
        <f>'Expected NPV &amp; Common Data'!D$36</f>
        <v>2027</v>
      </c>
      <c r="E741" s="245">
        <f>'Expected NPV &amp; Common Data'!E$36</f>
        <v>2028</v>
      </c>
      <c r="F741" s="245">
        <f>'Expected NPV &amp; Common Data'!F$36</f>
        <v>2029</v>
      </c>
      <c r="G741" s="245">
        <f>'Expected NPV &amp; Common Data'!G$36</f>
        <v>2030</v>
      </c>
      <c r="H741" s="245">
        <f>'Expected NPV &amp; Common Data'!H$36</f>
        <v>2031</v>
      </c>
      <c r="I741" s="245">
        <f>'Expected NPV &amp; Common Data'!I$36</f>
        <v>2032</v>
      </c>
      <c r="J741" s="245">
        <f>'Expected NPV &amp; Common Data'!J$36</f>
        <v>2033</v>
      </c>
      <c r="K741" s="245">
        <f>'Expected NPV &amp; Common Data'!K$36</f>
        <v>2034</v>
      </c>
      <c r="L741" s="245">
        <f>'Expected NPV &amp; Common Data'!L$36</f>
        <v>2035</v>
      </c>
      <c r="M741" s="245">
        <f>'Expected NPV &amp; Common Data'!M$36</f>
        <v>2036</v>
      </c>
      <c r="N741" s="245">
        <f>'Expected NPV &amp; Common Data'!N$36</f>
        <v>2037</v>
      </c>
      <c r="O741" s="245">
        <f>'Expected NPV &amp; Common Data'!O$36</f>
        <v>2038</v>
      </c>
      <c r="P741" s="245">
        <f>'Expected NPV &amp; Common Data'!P$36</f>
        <v>2039</v>
      </c>
      <c r="Q741" s="245">
        <f>'Expected NPV &amp; Common Data'!Q$36</f>
        <v>2040</v>
      </c>
      <c r="R741" s="245">
        <f>'Expected NPV &amp; Common Data'!R$36</f>
        <v>2041</v>
      </c>
      <c r="S741" s="245">
        <f>'Expected NPV &amp; Common Data'!S$36</f>
        <v>2042</v>
      </c>
      <c r="T741" s="245">
        <f>'Expected NPV &amp; Common Data'!T$36</f>
        <v>2043</v>
      </c>
      <c r="U741" s="245">
        <f>'Expected NPV &amp; Common Data'!U$36</f>
        <v>2044</v>
      </c>
      <c r="V741" s="245">
        <f>'Expected NPV &amp; Common Data'!V$36</f>
        <v>2045</v>
      </c>
      <c r="W741" s="245">
        <f>'Expected NPV &amp; Common Data'!W$36</f>
        <v>2046</v>
      </c>
      <c r="X741" s="245">
        <f>'Expected NPV &amp; Common Data'!X$36</f>
        <v>2047</v>
      </c>
      <c r="Y741" s="245">
        <f>'Expected NPV &amp; Common Data'!Y$36</f>
        <v>2048</v>
      </c>
      <c r="Z741" s="245">
        <f>'Expected NPV &amp; Common Data'!Z$36</f>
        <v>2049</v>
      </c>
      <c r="AA741" s="245">
        <f>'Expected NPV &amp; Common Data'!AA$36</f>
        <v>2050</v>
      </c>
      <c r="AB741" s="245">
        <f>'Expected NPV &amp; Common Data'!AB$36</f>
        <v>2051</v>
      </c>
      <c r="AC741" s="245">
        <f>'Expected NPV &amp; Common Data'!AC$36</f>
        <v>2052</v>
      </c>
      <c r="AD741" s="245">
        <f>'Expected NPV &amp; Common Data'!AD$36</f>
        <v>2053</v>
      </c>
    </row>
    <row r="742" spans="1:30" ht="38.5" customHeight="1">
      <c r="A742" s="249" t="s">
        <v>568</v>
      </c>
      <c r="B742" s="250"/>
      <c r="C742" s="251"/>
      <c r="D742" s="252"/>
      <c r="E742" s="13"/>
      <c r="F742" s="15"/>
      <c r="G742" s="15"/>
      <c r="H742" s="15"/>
      <c r="I742" s="15"/>
      <c r="J742" s="15"/>
      <c r="K742" s="15"/>
      <c r="L742" s="15"/>
      <c r="M742" s="15"/>
      <c r="N742" s="15"/>
      <c r="O742" s="15"/>
      <c r="P742" s="15"/>
      <c r="Q742" s="15"/>
      <c r="R742" s="15"/>
      <c r="S742" s="15"/>
      <c r="T742" s="15"/>
      <c r="U742" s="15"/>
      <c r="V742" s="15"/>
      <c r="W742" s="15"/>
      <c r="X742" s="15"/>
      <c r="Y742" s="15"/>
      <c r="Z742" s="15"/>
      <c r="AA742" s="15"/>
      <c r="AB742" s="15"/>
      <c r="AC742" s="15"/>
      <c r="AD742" s="15"/>
    </row>
    <row r="743" spans="1:30" ht="15.5">
      <c r="A743" s="97" t="s">
        <v>21</v>
      </c>
      <c r="D743" s="15"/>
      <c r="E743" s="15"/>
      <c r="F743" s="15"/>
      <c r="G743" s="15"/>
      <c r="H743" s="15"/>
      <c r="I743" s="15"/>
      <c r="J743" s="15"/>
      <c r="K743" s="15"/>
      <c r="L743" s="15"/>
      <c r="M743" s="15"/>
      <c r="N743" s="15"/>
      <c r="O743" s="15"/>
      <c r="P743" s="15"/>
      <c r="Q743" s="15"/>
      <c r="R743" s="15"/>
      <c r="S743" s="15"/>
      <c r="T743" s="15"/>
      <c r="U743" s="15"/>
      <c r="V743" s="15"/>
      <c r="W743" s="15"/>
      <c r="X743" s="15"/>
      <c r="Y743" s="15"/>
      <c r="Z743" s="15"/>
      <c r="AA743" s="15"/>
      <c r="AB743" s="15"/>
      <c r="AC743" s="15"/>
      <c r="AD743" s="15"/>
    </row>
    <row r="744" spans="1:30" s="73" customFormat="1">
      <c r="A744" s="72" t="str">
        <f>A311</f>
        <v>Cashstream 1: Revenue - Low Case</v>
      </c>
      <c r="B744" s="73" t="str">
        <f>B311</f>
        <v>US$ millions Real</v>
      </c>
      <c r="C744" s="74">
        <f>SUM(D744:AD744)</f>
        <v>6648.7303561530016</v>
      </c>
      <c r="D744" s="74">
        <f t="shared" ref="D744:AD744" si="312">D311</f>
        <v>0</v>
      </c>
      <c r="E744" s="74">
        <f t="shared" si="312"/>
        <v>0</v>
      </c>
      <c r="F744" s="74">
        <f t="shared" si="312"/>
        <v>241.34010039283348</v>
      </c>
      <c r="G744" s="74">
        <f t="shared" si="312"/>
        <v>480.40218509434141</v>
      </c>
      <c r="H744" s="74">
        <f t="shared" si="312"/>
        <v>537.2580389669946</v>
      </c>
      <c r="I744" s="74">
        <f t="shared" si="312"/>
        <v>540.60574889670966</v>
      </c>
      <c r="J744" s="74">
        <f t="shared" si="312"/>
        <v>560.53291314932892</v>
      </c>
      <c r="K744" s="74">
        <f t="shared" si="312"/>
        <v>479.25242191222549</v>
      </c>
      <c r="L744" s="74">
        <f t="shared" si="312"/>
        <v>443.19344110709488</v>
      </c>
      <c r="M744" s="74">
        <f t="shared" si="312"/>
        <v>437.89350118083541</v>
      </c>
      <c r="N744" s="74">
        <f t="shared" si="312"/>
        <v>437.64840333579383</v>
      </c>
      <c r="O744" s="74">
        <f t="shared" si="312"/>
        <v>437.64840333579383</v>
      </c>
      <c r="P744" s="74">
        <f t="shared" si="312"/>
        <v>457.88546979701459</v>
      </c>
      <c r="Q744" s="74">
        <f t="shared" si="312"/>
        <v>373.18115785680482</v>
      </c>
      <c r="R744" s="74">
        <f t="shared" si="312"/>
        <v>362.68127423568251</v>
      </c>
      <c r="S744" s="74">
        <f t="shared" si="312"/>
        <v>362.43481486835373</v>
      </c>
      <c r="T744" s="74">
        <f t="shared" si="312"/>
        <v>496.77248202319396</v>
      </c>
      <c r="U744" s="74">
        <f t="shared" si="312"/>
        <v>0</v>
      </c>
      <c r="V744" s="74">
        <f t="shared" si="312"/>
        <v>0</v>
      </c>
      <c r="W744" s="74">
        <f t="shared" si="312"/>
        <v>0</v>
      </c>
      <c r="X744" s="74">
        <f t="shared" si="312"/>
        <v>0</v>
      </c>
      <c r="Y744" s="74">
        <f t="shared" si="312"/>
        <v>0</v>
      </c>
      <c r="Z744" s="74">
        <f t="shared" si="312"/>
        <v>0</v>
      </c>
      <c r="AA744" s="74">
        <f t="shared" si="312"/>
        <v>0</v>
      </c>
      <c r="AB744" s="74">
        <f t="shared" si="312"/>
        <v>0</v>
      </c>
      <c r="AC744" s="74">
        <f t="shared" si="312"/>
        <v>0</v>
      </c>
      <c r="AD744" s="74">
        <f t="shared" si="312"/>
        <v>0</v>
      </c>
    </row>
    <row r="745" spans="1:30" s="73" customFormat="1">
      <c r="A745" s="72" t="str">
        <f>A359</f>
        <v>Cashstream 2: Capital Costs - Low Case</v>
      </c>
      <c r="B745" s="73" t="str">
        <f>B359</f>
        <v>US$ millions Real</v>
      </c>
      <c r="C745" s="74">
        <f>SUM(D745:AD745)</f>
        <v>1377.1200000000001</v>
      </c>
      <c r="D745" s="74">
        <f t="shared" ref="D745:AD745" si="313">D359</f>
        <v>255</v>
      </c>
      <c r="E745" s="74">
        <f t="shared" si="313"/>
        <v>543</v>
      </c>
      <c r="F745" s="74">
        <f t="shared" si="313"/>
        <v>73.727999999999994</v>
      </c>
      <c r="G745" s="74">
        <f t="shared" si="313"/>
        <v>33.527999999999999</v>
      </c>
      <c r="H745" s="74">
        <f t="shared" si="313"/>
        <v>33.527999999999999</v>
      </c>
      <c r="I745" s="74">
        <f t="shared" si="313"/>
        <v>48.527999999999999</v>
      </c>
      <c r="J745" s="74">
        <f t="shared" si="313"/>
        <v>33.527999999999999</v>
      </c>
      <c r="K745" s="74">
        <f t="shared" si="313"/>
        <v>33.527999999999999</v>
      </c>
      <c r="L745" s="74">
        <f t="shared" si="313"/>
        <v>33.527999999999999</v>
      </c>
      <c r="M745" s="74">
        <f t="shared" si="313"/>
        <v>45.527999999999999</v>
      </c>
      <c r="N745" s="74">
        <f t="shared" si="313"/>
        <v>33.527999999999999</v>
      </c>
      <c r="O745" s="74">
        <f t="shared" si="313"/>
        <v>33.527999999999999</v>
      </c>
      <c r="P745" s="74">
        <f t="shared" si="313"/>
        <v>33.527999999999999</v>
      </c>
      <c r="Q745" s="74">
        <f t="shared" si="313"/>
        <v>42.527999999999999</v>
      </c>
      <c r="R745" s="74">
        <f t="shared" si="313"/>
        <v>33.527999999999999</v>
      </c>
      <c r="S745" s="74">
        <f t="shared" si="313"/>
        <v>33.527999999999999</v>
      </c>
      <c r="T745" s="74">
        <f t="shared" si="313"/>
        <v>33.527999999999999</v>
      </c>
      <c r="U745" s="74">
        <f t="shared" si="313"/>
        <v>0</v>
      </c>
      <c r="V745" s="74">
        <f t="shared" si="313"/>
        <v>0</v>
      </c>
      <c r="W745" s="74">
        <f t="shared" si="313"/>
        <v>0</v>
      </c>
      <c r="X745" s="74">
        <f t="shared" si="313"/>
        <v>0</v>
      </c>
      <c r="Y745" s="74">
        <f t="shared" si="313"/>
        <v>0</v>
      </c>
      <c r="Z745" s="74">
        <f t="shared" si="313"/>
        <v>0</v>
      </c>
      <c r="AA745" s="74">
        <f t="shared" si="313"/>
        <v>0</v>
      </c>
      <c r="AB745" s="74">
        <f t="shared" si="313"/>
        <v>0</v>
      </c>
      <c r="AC745" s="74">
        <f t="shared" si="313"/>
        <v>0</v>
      </c>
      <c r="AD745" s="74">
        <f t="shared" si="313"/>
        <v>0</v>
      </c>
    </row>
    <row r="746" spans="1:30" s="73" customFormat="1">
      <c r="A746" s="72" t="str">
        <f>A649</f>
        <v>Cashstream 3: Operating Costs - Low Case</v>
      </c>
      <c r="B746" s="73" t="str">
        <f>B649</f>
        <v>US$ millions Real</v>
      </c>
      <c r="C746" s="74">
        <f>SUM(D746:AD746)</f>
        <v>5426.5194164788827</v>
      </c>
      <c r="D746" s="74">
        <f t="shared" ref="D746:AD746" si="314">D649</f>
        <v>2.2799999999999998</v>
      </c>
      <c r="E746" s="74">
        <f t="shared" si="314"/>
        <v>150.44999999999999</v>
      </c>
      <c r="F746" s="74">
        <f t="shared" si="314"/>
        <v>231.36818890378106</v>
      </c>
      <c r="G746" s="74">
        <f t="shared" si="314"/>
        <v>256.64497135170421</v>
      </c>
      <c r="H746" s="74">
        <f t="shared" si="314"/>
        <v>352.39140329251842</v>
      </c>
      <c r="I746" s="74">
        <f t="shared" si="314"/>
        <v>352.43992445037031</v>
      </c>
      <c r="J746" s="74">
        <f t="shared" si="314"/>
        <v>419.62546654036254</v>
      </c>
      <c r="K746" s="74">
        <f t="shared" si="314"/>
        <v>400.31888516627538</v>
      </c>
      <c r="L746" s="74">
        <f t="shared" si="314"/>
        <v>404.21773950335592</v>
      </c>
      <c r="M746" s="74">
        <f t="shared" si="314"/>
        <v>405.96747684946075</v>
      </c>
      <c r="N746" s="74">
        <f t="shared" si="314"/>
        <v>407.694420396841</v>
      </c>
      <c r="O746" s="74">
        <f t="shared" si="314"/>
        <v>409.42183337969499</v>
      </c>
      <c r="P746" s="74">
        <f t="shared" si="314"/>
        <v>397.95666429118103</v>
      </c>
      <c r="Q746" s="74">
        <f t="shared" si="314"/>
        <v>302.71668608415951</v>
      </c>
      <c r="R746" s="74">
        <f t="shared" si="314"/>
        <v>304.8728567406809</v>
      </c>
      <c r="S746" s="74">
        <f t="shared" si="314"/>
        <v>261.59900032744258</v>
      </c>
      <c r="T746" s="74">
        <f t="shared" si="314"/>
        <v>366.55389920105415</v>
      </c>
      <c r="U746" s="74">
        <f t="shared" si="314"/>
        <v>0</v>
      </c>
      <c r="V746" s="74">
        <f t="shared" si="314"/>
        <v>0</v>
      </c>
      <c r="W746" s="74">
        <f t="shared" si="314"/>
        <v>0</v>
      </c>
      <c r="X746" s="74">
        <f t="shared" si="314"/>
        <v>0</v>
      </c>
      <c r="Y746" s="74">
        <f t="shared" si="314"/>
        <v>0</v>
      </c>
      <c r="Z746" s="74">
        <f t="shared" si="314"/>
        <v>0</v>
      </c>
      <c r="AA746" s="74">
        <f t="shared" si="314"/>
        <v>0</v>
      </c>
      <c r="AB746" s="74">
        <f t="shared" si="314"/>
        <v>0</v>
      </c>
      <c r="AC746" s="74">
        <f t="shared" si="314"/>
        <v>0</v>
      </c>
      <c r="AD746" s="74">
        <f t="shared" si="314"/>
        <v>0</v>
      </c>
    </row>
    <row r="747" spans="1:30" s="73" customFormat="1">
      <c r="A747" s="72" t="str">
        <f>A739</f>
        <v>Cashstream 4: Taxes - Low Case</v>
      </c>
      <c r="B747" s="73" t="str">
        <f>B739</f>
        <v>US$ millions Real</v>
      </c>
      <c r="C747" s="74">
        <f>SUM(D747:AD747)</f>
        <v>475.98272277646873</v>
      </c>
      <c r="D747" s="74">
        <f t="shared" ref="D747:AD747" si="315">D739</f>
        <v>0</v>
      </c>
      <c r="E747" s="74">
        <f t="shared" si="315"/>
        <v>0</v>
      </c>
      <c r="F747" s="74">
        <f t="shared" si="315"/>
        <v>18.202424704570948</v>
      </c>
      <c r="G747" s="74">
        <f t="shared" si="315"/>
        <v>34.488502290767919</v>
      </c>
      <c r="H747" s="74">
        <f t="shared" si="315"/>
        <v>37.229691299152279</v>
      </c>
      <c r="I747" s="74">
        <f t="shared" si="315"/>
        <v>37.226015258684136</v>
      </c>
      <c r="J747" s="74">
        <f t="shared" si="315"/>
        <v>38.72465662371291</v>
      </c>
      <c r="K747" s="74">
        <f t="shared" si="315"/>
        <v>33.216507462537216</v>
      </c>
      <c r="L747" s="74">
        <f t="shared" si="315"/>
        <v>31.683619308509137</v>
      </c>
      <c r="M747" s="74">
        <f t="shared" si="315"/>
        <v>31.584881995003045</v>
      </c>
      <c r="N747" s="74">
        <f t="shared" si="315"/>
        <v>31.581219143707038</v>
      </c>
      <c r="O747" s="74">
        <f t="shared" si="315"/>
        <v>31.577519663898087</v>
      </c>
      <c r="P747" s="74">
        <f t="shared" si="315"/>
        <v>32.714251352138632</v>
      </c>
      <c r="Q747" s="74">
        <f t="shared" si="315"/>
        <v>27.637995297488743</v>
      </c>
      <c r="R747" s="74">
        <f t="shared" si="315"/>
        <v>27.40755488558359</v>
      </c>
      <c r="S747" s="74">
        <f t="shared" si="315"/>
        <v>27.403863398642663</v>
      </c>
      <c r="T747" s="74">
        <f t="shared" si="315"/>
        <v>35.304020092072406</v>
      </c>
      <c r="U747" s="74">
        <f t="shared" si="315"/>
        <v>0</v>
      </c>
      <c r="V747" s="74">
        <f t="shared" si="315"/>
        <v>0</v>
      </c>
      <c r="W747" s="74">
        <f t="shared" si="315"/>
        <v>0</v>
      </c>
      <c r="X747" s="74">
        <f t="shared" si="315"/>
        <v>0</v>
      </c>
      <c r="Y747" s="74">
        <f t="shared" si="315"/>
        <v>0</v>
      </c>
      <c r="Z747" s="74">
        <f t="shared" si="315"/>
        <v>0</v>
      </c>
      <c r="AA747" s="74">
        <f t="shared" si="315"/>
        <v>0</v>
      </c>
      <c r="AB747" s="74">
        <f t="shared" si="315"/>
        <v>0</v>
      </c>
      <c r="AC747" s="74">
        <f t="shared" si="315"/>
        <v>0</v>
      </c>
      <c r="AD747" s="74">
        <f t="shared" si="315"/>
        <v>0</v>
      </c>
    </row>
    <row r="748" spans="1:30" s="25" customFormat="1" ht="37.25" customHeight="1" thickBot="1">
      <c r="A748" s="26" t="str">
        <f>"Cash Generation - "&amp;A3</f>
        <v>Cash Generation - Low Case</v>
      </c>
      <c r="B748" s="32" t="s">
        <v>82</v>
      </c>
      <c r="C748" s="130">
        <f>SUM(D748:AD748)</f>
        <v>-630.89178310235059</v>
      </c>
      <c r="D748" s="131">
        <f t="shared" ref="D748:AD748" si="316">D744-D745-D746-D747</f>
        <v>-257.27999999999997</v>
      </c>
      <c r="E748" s="131">
        <f t="shared" si="316"/>
        <v>-693.45</v>
      </c>
      <c r="F748" s="131">
        <f t="shared" si="316"/>
        <v>-81.958513215518508</v>
      </c>
      <c r="G748" s="131">
        <f t="shared" si="316"/>
        <v>155.74071145186926</v>
      </c>
      <c r="H748" s="131">
        <f t="shared" si="316"/>
        <v>114.10894437532389</v>
      </c>
      <c r="I748" s="131">
        <f t="shared" si="316"/>
        <v>102.41180918765519</v>
      </c>
      <c r="J748" s="131">
        <f t="shared" si="316"/>
        <v>68.654789985253444</v>
      </c>
      <c r="K748" s="131">
        <f t="shared" si="316"/>
        <v>12.189029283412872</v>
      </c>
      <c r="L748" s="131">
        <f t="shared" si="316"/>
        <v>-26.235917704770188</v>
      </c>
      <c r="M748" s="131">
        <f t="shared" si="316"/>
        <v>-45.186857663628402</v>
      </c>
      <c r="N748" s="131">
        <f t="shared" si="316"/>
        <v>-35.155236204754225</v>
      </c>
      <c r="O748" s="131">
        <f t="shared" si="316"/>
        <v>-36.878949707799265</v>
      </c>
      <c r="P748" s="131">
        <f t="shared" si="316"/>
        <v>-6.3134458463050862</v>
      </c>
      <c r="Q748" s="131">
        <f t="shared" si="316"/>
        <v>0.29847647515654785</v>
      </c>
      <c r="R748" s="131">
        <f t="shared" si="316"/>
        <v>-3.1271373905820035</v>
      </c>
      <c r="S748" s="131">
        <f t="shared" si="316"/>
        <v>39.903951142268461</v>
      </c>
      <c r="T748" s="131">
        <f t="shared" si="316"/>
        <v>61.386562730067382</v>
      </c>
      <c r="U748" s="131">
        <f t="shared" si="316"/>
        <v>0</v>
      </c>
      <c r="V748" s="131">
        <f t="shared" si="316"/>
        <v>0</v>
      </c>
      <c r="W748" s="131">
        <f t="shared" si="316"/>
        <v>0</v>
      </c>
      <c r="X748" s="131">
        <f t="shared" si="316"/>
        <v>0</v>
      </c>
      <c r="Y748" s="131">
        <f t="shared" si="316"/>
        <v>0</v>
      </c>
      <c r="Z748" s="131">
        <f t="shared" si="316"/>
        <v>0</v>
      </c>
      <c r="AA748" s="131">
        <f t="shared" si="316"/>
        <v>0</v>
      </c>
      <c r="AB748" s="131">
        <f t="shared" si="316"/>
        <v>0</v>
      </c>
      <c r="AC748" s="131">
        <f t="shared" si="316"/>
        <v>0</v>
      </c>
      <c r="AD748" s="131">
        <f t="shared" si="316"/>
        <v>0</v>
      </c>
    </row>
    <row r="749" spans="1:30" s="73" customFormat="1" ht="13.5" thickBot="1">
      <c r="A749" s="72" t="s">
        <v>541</v>
      </c>
      <c r="C749" s="74"/>
      <c r="D749" s="156">
        <f>D748</f>
        <v>-257.27999999999997</v>
      </c>
      <c r="E749" s="74">
        <f t="shared" ref="E749:AD749" si="317">D749+E748</f>
        <v>-950.73</v>
      </c>
      <c r="F749" s="74">
        <f t="shared" si="317"/>
        <v>-1032.6885132155185</v>
      </c>
      <c r="G749" s="74">
        <f t="shared" si="317"/>
        <v>-876.94780176364918</v>
      </c>
      <c r="H749" s="74">
        <f t="shared" si="317"/>
        <v>-762.83885738832532</v>
      </c>
      <c r="I749" s="74">
        <f t="shared" si="317"/>
        <v>-660.42704820067013</v>
      </c>
      <c r="J749" s="74">
        <f t="shared" si="317"/>
        <v>-591.77225821541674</v>
      </c>
      <c r="K749" s="74">
        <f t="shared" si="317"/>
        <v>-579.58322893200386</v>
      </c>
      <c r="L749" s="74">
        <f t="shared" si="317"/>
        <v>-605.81914663677401</v>
      </c>
      <c r="M749" s="74">
        <f t="shared" si="317"/>
        <v>-651.00600430040242</v>
      </c>
      <c r="N749" s="74">
        <f t="shared" si="317"/>
        <v>-686.16124050515668</v>
      </c>
      <c r="O749" s="74">
        <f t="shared" si="317"/>
        <v>-723.04019021295596</v>
      </c>
      <c r="P749" s="74">
        <f t="shared" si="317"/>
        <v>-729.35363605926102</v>
      </c>
      <c r="Q749" s="74">
        <f t="shared" si="317"/>
        <v>-729.05515958410444</v>
      </c>
      <c r="R749" s="74">
        <f t="shared" si="317"/>
        <v>-732.18229697468644</v>
      </c>
      <c r="S749" s="74">
        <f t="shared" si="317"/>
        <v>-692.27834583241793</v>
      </c>
      <c r="T749" s="74">
        <f t="shared" si="317"/>
        <v>-630.89178310235059</v>
      </c>
      <c r="U749" s="74">
        <f t="shared" si="317"/>
        <v>-630.89178310235059</v>
      </c>
      <c r="V749" s="74">
        <f t="shared" si="317"/>
        <v>-630.89178310235059</v>
      </c>
      <c r="W749" s="74">
        <f t="shared" si="317"/>
        <v>-630.89178310235059</v>
      </c>
      <c r="X749" s="74">
        <f t="shared" si="317"/>
        <v>-630.89178310235059</v>
      </c>
      <c r="Y749" s="74">
        <f t="shared" si="317"/>
        <v>-630.89178310235059</v>
      </c>
      <c r="Z749" s="74">
        <f t="shared" si="317"/>
        <v>-630.89178310235059</v>
      </c>
      <c r="AA749" s="74">
        <f t="shared" si="317"/>
        <v>-630.89178310235059</v>
      </c>
      <c r="AB749" s="74">
        <f t="shared" si="317"/>
        <v>-630.89178310235059</v>
      </c>
      <c r="AC749" s="74">
        <f t="shared" si="317"/>
        <v>-630.89178310235059</v>
      </c>
      <c r="AD749" s="74">
        <f t="shared" si="317"/>
        <v>-630.89178310235059</v>
      </c>
    </row>
    <row r="750" spans="1:30" s="45" customFormat="1" ht="18.5">
      <c r="A750" s="103"/>
      <c r="B750" s="96"/>
      <c r="C750" s="102"/>
      <c r="D750" s="102"/>
      <c r="E750" s="102"/>
      <c r="F750" s="102"/>
      <c r="G750" s="102"/>
      <c r="H750" s="102"/>
      <c r="I750" s="102"/>
      <c r="J750" s="102"/>
      <c r="K750" s="102"/>
      <c r="L750" s="102"/>
      <c r="M750" s="102"/>
      <c r="N750" s="102"/>
      <c r="O750" s="102"/>
      <c r="P750" s="102"/>
      <c r="Q750" s="102"/>
      <c r="R750" s="102"/>
      <c r="S750" s="102"/>
      <c r="T750" s="102"/>
      <c r="U750" s="102"/>
      <c r="V750" s="102"/>
      <c r="W750" s="102"/>
      <c r="X750" s="102"/>
      <c r="Y750" s="102"/>
      <c r="Z750" s="102"/>
      <c r="AA750" s="102"/>
      <c r="AB750" s="102"/>
      <c r="AC750" s="102"/>
      <c r="AD750" s="102"/>
    </row>
    <row r="751" spans="1:30" ht="16" thickBot="1">
      <c r="A751" s="97" t="s">
        <v>569</v>
      </c>
      <c r="D751" s="15"/>
      <c r="E751" s="15"/>
      <c r="F751" s="15"/>
      <c r="G751" s="15"/>
      <c r="H751" s="15"/>
      <c r="I751" s="15"/>
      <c r="J751" s="15"/>
      <c r="K751" s="15"/>
      <c r="L751" s="15"/>
      <c r="M751" s="15"/>
      <c r="N751" s="15"/>
      <c r="O751" s="15"/>
      <c r="P751" s="15"/>
      <c r="Q751" s="15"/>
      <c r="R751" s="15"/>
      <c r="S751" s="15"/>
      <c r="T751" s="15"/>
      <c r="U751" s="15"/>
      <c r="V751" s="15"/>
      <c r="W751" s="15"/>
      <c r="X751" s="15"/>
      <c r="Y751" s="15"/>
      <c r="Z751" s="15"/>
      <c r="AA751" s="15"/>
      <c r="AB751" s="15"/>
      <c r="AC751" s="15"/>
      <c r="AD751" s="15"/>
    </row>
    <row r="752" spans="1:30" s="45" customFormat="1" ht="21.5" thickBot="1">
      <c r="A752" s="59" t="str">
        <f>"IRR - "&amp;A3</f>
        <v>IRR - Low Case</v>
      </c>
      <c r="B752" s="45" t="s">
        <v>25</v>
      </c>
      <c r="C752" s="157">
        <f>IRR(D748:AD748,10%)</f>
        <v>-0.13339043027251685</v>
      </c>
      <c r="D752" s="44"/>
      <c r="E752" s="44"/>
      <c r="F752" s="44"/>
      <c r="G752" s="44"/>
      <c r="H752" s="44"/>
      <c r="I752" s="44"/>
      <c r="J752" s="44"/>
      <c r="K752" s="44"/>
      <c r="L752" s="44"/>
      <c r="M752" s="44"/>
      <c r="N752" s="44"/>
      <c r="O752" s="44"/>
      <c r="P752" s="44"/>
      <c r="Q752" s="44"/>
      <c r="R752" s="44"/>
      <c r="S752" s="44"/>
      <c r="T752" s="44"/>
      <c r="U752" s="44"/>
      <c r="V752" s="44"/>
      <c r="W752" s="44"/>
      <c r="X752" s="44"/>
      <c r="Y752" s="44"/>
      <c r="Z752" s="44"/>
      <c r="AA752" s="44"/>
      <c r="AB752" s="44"/>
      <c r="AC752" s="44"/>
      <c r="AD752" s="44"/>
    </row>
    <row r="753" spans="1:30" s="45" customFormat="1">
      <c r="A753" s="112"/>
      <c r="C753" s="110"/>
      <c r="D753" s="44"/>
      <c r="E753" s="44"/>
      <c r="F753" s="44"/>
      <c r="G753" s="44"/>
      <c r="H753" s="44"/>
      <c r="I753" s="44"/>
      <c r="J753" s="44"/>
      <c r="K753" s="44"/>
      <c r="L753" s="44"/>
      <c r="M753" s="44"/>
      <c r="N753" s="44"/>
      <c r="O753" s="44"/>
      <c r="P753" s="44"/>
      <c r="Q753" s="44"/>
      <c r="R753" s="44"/>
      <c r="S753" s="44"/>
      <c r="T753" s="44"/>
      <c r="U753" s="44"/>
      <c r="V753" s="44"/>
      <c r="W753" s="44"/>
      <c r="X753" s="44"/>
      <c r="Y753" s="44"/>
      <c r="Z753" s="44"/>
      <c r="AA753" s="44"/>
      <c r="AB753" s="44"/>
      <c r="AC753" s="44"/>
      <c r="AD753" s="44"/>
    </row>
    <row r="754" spans="1:30" ht="15.5">
      <c r="A754" s="97" t="s">
        <v>570</v>
      </c>
      <c r="D754" s="15"/>
      <c r="E754" s="15"/>
      <c r="F754" s="15"/>
      <c r="G754" s="15"/>
      <c r="H754" s="15"/>
      <c r="I754" s="15"/>
      <c r="J754" s="15"/>
      <c r="K754" s="15"/>
      <c r="L754" s="15"/>
      <c r="M754" s="15"/>
      <c r="N754" s="15"/>
      <c r="O754" s="15"/>
      <c r="P754" s="15"/>
      <c r="Q754" s="15"/>
      <c r="R754" s="15"/>
      <c r="S754" s="15"/>
      <c r="T754" s="15"/>
      <c r="U754" s="15"/>
      <c r="V754" s="15"/>
      <c r="W754" s="15"/>
      <c r="X754" s="15"/>
      <c r="Y754" s="15"/>
      <c r="Z754" s="15"/>
      <c r="AA754" s="15"/>
      <c r="AB754" s="15"/>
      <c r="AC754" s="15"/>
      <c r="AD754" s="15"/>
    </row>
    <row r="755" spans="1:30">
      <c r="A755" s="311" t="str">
        <f>'Expected NPV &amp; Common Data'!A$101</f>
        <v>Discount Rate for copper mining in host country</v>
      </c>
      <c r="B755" s="311" t="str">
        <f>'Expected NPV &amp; Common Data'!B$101</f>
        <v>% Real</v>
      </c>
      <c r="C755" s="312">
        <f>'Expected NPV &amp; Common Data'!C$101</f>
        <v>0</v>
      </c>
      <c r="D755" s="313">
        <f>'Expected NPV &amp; Common Data'!D$101</f>
        <v>0.08</v>
      </c>
      <c r="E755" s="313">
        <f>'Expected NPV &amp; Common Data'!E$101</f>
        <v>0.08</v>
      </c>
      <c r="F755" s="313">
        <f>'Expected NPV &amp; Common Data'!F$101</f>
        <v>0.08</v>
      </c>
      <c r="G755" s="313">
        <f>'Expected NPV &amp; Common Data'!G$101</f>
        <v>0.08</v>
      </c>
      <c r="H755" s="313">
        <f>'Expected NPV &amp; Common Data'!H$101</f>
        <v>0.08</v>
      </c>
      <c r="I755" s="313">
        <f>'Expected NPV &amp; Common Data'!I$101</f>
        <v>0.08</v>
      </c>
      <c r="J755" s="313">
        <f>'Expected NPV &amp; Common Data'!J$101</f>
        <v>0.08</v>
      </c>
      <c r="K755" s="313">
        <f>'Expected NPV &amp; Common Data'!K$101</f>
        <v>0.08</v>
      </c>
      <c r="L755" s="313">
        <f>'Expected NPV &amp; Common Data'!L$101</f>
        <v>0.08</v>
      </c>
      <c r="M755" s="313">
        <f>'Expected NPV &amp; Common Data'!M$101</f>
        <v>0.08</v>
      </c>
      <c r="N755" s="313">
        <f>'Expected NPV &amp; Common Data'!N$101</f>
        <v>0.08</v>
      </c>
      <c r="O755" s="313">
        <f>'Expected NPV &amp; Common Data'!O$101</f>
        <v>0.08</v>
      </c>
      <c r="P755" s="313">
        <f>'Expected NPV &amp; Common Data'!P$101</f>
        <v>0.08</v>
      </c>
      <c r="Q755" s="313">
        <f>'Expected NPV &amp; Common Data'!Q$101</f>
        <v>0.08</v>
      </c>
      <c r="R755" s="313">
        <f>'Expected NPV &amp; Common Data'!R$101</f>
        <v>0.08</v>
      </c>
      <c r="S755" s="313">
        <f>'Expected NPV &amp; Common Data'!S$101</f>
        <v>0.08</v>
      </c>
      <c r="T755" s="313">
        <f>'Expected NPV &amp; Common Data'!T$101</f>
        <v>0.08</v>
      </c>
      <c r="U755" s="313">
        <f>'Expected NPV &amp; Common Data'!U$101</f>
        <v>0.08</v>
      </c>
      <c r="V755" s="313">
        <f>'Expected NPV &amp; Common Data'!V$101</f>
        <v>0.08</v>
      </c>
      <c r="W755" s="313">
        <f>'Expected NPV &amp; Common Data'!W$101</f>
        <v>0.08</v>
      </c>
      <c r="X755" s="313">
        <f>'Expected NPV &amp; Common Data'!X$101</f>
        <v>0.08</v>
      </c>
      <c r="Y755" s="313">
        <f>'Expected NPV &amp; Common Data'!Y$101</f>
        <v>0</v>
      </c>
      <c r="Z755" s="313">
        <f>'Expected NPV &amp; Common Data'!Z$101</f>
        <v>0</v>
      </c>
      <c r="AA755" s="313">
        <f>'Expected NPV &amp; Common Data'!AA$101</f>
        <v>0</v>
      </c>
      <c r="AB755" s="313">
        <f>'Expected NPV &amp; Common Data'!AB$101</f>
        <v>0</v>
      </c>
      <c r="AC755" s="313">
        <f>'Expected NPV &amp; Common Data'!AC$101</f>
        <v>0</v>
      </c>
      <c r="AD755" s="313">
        <f>'Expected NPV &amp; Common Data'!AD$101</f>
        <v>0</v>
      </c>
    </row>
    <row r="756" spans="1:30">
      <c r="A756" s="311" t="str">
        <f>'Expected NPV &amp; Common Data'!A$102</f>
        <v>Discount Factor</v>
      </c>
      <c r="B756" s="247" t="str">
        <f>'Expected NPV &amp; Common Data'!B$102</f>
        <v>to Jan 2016</v>
      </c>
      <c r="C756" s="312">
        <f>'Expected NPV &amp; Common Data'!C$102</f>
        <v>0</v>
      </c>
      <c r="D756" s="314">
        <f>'Expected NPV &amp; Common Data'!D$102</f>
        <v>0.96225044864937614</v>
      </c>
      <c r="E756" s="314">
        <f>'Expected NPV &amp; Common Data'!E$102</f>
        <v>0.89097263763831114</v>
      </c>
      <c r="F756" s="314">
        <f>'Expected NPV &amp; Common Data'!F$102</f>
        <v>0.82497466447991763</v>
      </c>
      <c r="G756" s="314">
        <f>'Expected NPV &amp; Common Data'!G$102</f>
        <v>0.76386543007399776</v>
      </c>
      <c r="H756" s="314">
        <f>'Expected NPV &amp; Common Data'!H$102</f>
        <v>0.70728280562407198</v>
      </c>
      <c r="I756" s="314">
        <f>'Expected NPV &amp; Common Data'!I$102</f>
        <v>0.65489148668895547</v>
      </c>
      <c r="J756" s="314">
        <f>'Expected NPV &amp; Common Data'!J$102</f>
        <v>0.60638100619347723</v>
      </c>
      <c r="K756" s="314">
        <f>'Expected NPV &amp; Common Data'!K$102</f>
        <v>0.56146389462359003</v>
      </c>
      <c r="L756" s="314">
        <f>'Expected NPV &amp; Common Data'!L$102</f>
        <v>0.51987397650332412</v>
      </c>
      <c r="M756" s="314">
        <f>'Expected NPV &amp; Common Data'!M$102</f>
        <v>0.48136479305863339</v>
      </c>
      <c r="N756" s="314">
        <f>'Expected NPV &amp; Common Data'!N$102</f>
        <v>0.4457081417209568</v>
      </c>
      <c r="O756" s="314">
        <f>'Expected NPV &amp; Common Data'!O$102</f>
        <v>0.41269272381570071</v>
      </c>
      <c r="P756" s="314">
        <f>'Expected NPV &amp; Common Data'!P$102</f>
        <v>0.38212289242194508</v>
      </c>
      <c r="Q756" s="314">
        <f>'Expected NPV &amp; Common Data'!Q$102</f>
        <v>0.35381749298328247</v>
      </c>
      <c r="R756" s="314">
        <f>'Expected NPV &amp; Common Data'!R$102</f>
        <v>0.32760878979933561</v>
      </c>
      <c r="S756" s="314">
        <f>'Expected NPV &amp; Common Data'!S$102</f>
        <v>0.30334147203642187</v>
      </c>
      <c r="T756" s="314">
        <f>'Expected NPV &amp; Common Data'!T$102</f>
        <v>0.28087173336705729</v>
      </c>
      <c r="U756" s="314">
        <f>'Expected NPV &amp; Common Data'!U$102</f>
        <v>0.26006641978431227</v>
      </c>
      <c r="V756" s="314">
        <f>'Expected NPV &amp; Common Data'!V$102</f>
        <v>0.24080224054102986</v>
      </c>
      <c r="W756" s="314">
        <f>'Expected NPV &amp; Common Data'!W$102</f>
        <v>0.2229650375379906</v>
      </c>
      <c r="X756" s="314">
        <f>'Expected NPV &amp; Common Data'!X$102</f>
        <v>0.20644910883147277</v>
      </c>
      <c r="Y756" s="314">
        <f>'Expected NPV &amp; Common Data'!Y$102</f>
        <v>0</v>
      </c>
      <c r="Z756" s="314">
        <f>'Expected NPV &amp; Common Data'!Z$102</f>
        <v>0</v>
      </c>
      <c r="AA756" s="314">
        <f>'Expected NPV &amp; Common Data'!AA$102</f>
        <v>0</v>
      </c>
      <c r="AB756" s="314">
        <f>'Expected NPV &amp; Common Data'!AB$102</f>
        <v>0</v>
      </c>
      <c r="AC756" s="314">
        <f>'Expected NPV &amp; Common Data'!AC$102</f>
        <v>0</v>
      </c>
      <c r="AD756" s="314">
        <f>'Expected NPV &amp; Common Data'!AD$102</f>
        <v>0</v>
      </c>
    </row>
    <row r="757" spans="1:30" s="73" customFormat="1" ht="13.5" thickBot="1">
      <c r="A757" s="72" t="s">
        <v>136</v>
      </c>
      <c r="B757" s="73" t="s">
        <v>405</v>
      </c>
      <c r="C757" s="74">
        <f>SUM(D757:AD757)</f>
        <v>-658.07543821085255</v>
      </c>
      <c r="D757" s="74">
        <f t="shared" ref="D757:AD757" si="318">D748*D756</f>
        <v>-247.56779542851146</v>
      </c>
      <c r="E757" s="74">
        <f t="shared" si="318"/>
        <v>-617.84497557028692</v>
      </c>
      <c r="F757" s="74">
        <f t="shared" si="318"/>
        <v>-67.61369694124528</v>
      </c>
      <c r="G757" s="74">
        <f t="shared" si="318"/>
        <v>118.9649455332125</v>
      </c>
      <c r="H757" s="74">
        <f t="shared" si="318"/>
        <v>80.707294324580246</v>
      </c>
      <c r="I757" s="74">
        <f t="shared" si="318"/>
        <v>67.068621973409137</v>
      </c>
      <c r="J757" s="74">
        <f t="shared" si="318"/>
        <v>41.630960631259846</v>
      </c>
      <c r="K757" s="74">
        <f t="shared" si="318"/>
        <v>6.8436998531459778</v>
      </c>
      <c r="L757" s="74">
        <f t="shared" si="318"/>
        <v>-13.639370864392841</v>
      </c>
      <c r="M757" s="74">
        <f t="shared" si="318"/>
        <v>-21.751362388222407</v>
      </c>
      <c r="N757" s="74">
        <f t="shared" si="318"/>
        <v>-15.668975000582307</v>
      </c>
      <c r="O757" s="74">
        <f t="shared" si="318"/>
        <v>-15.219674206373918</v>
      </c>
      <c r="P757" s="74">
        <f t="shared" si="318"/>
        <v>-2.4125121879394147</v>
      </c>
      <c r="Q757" s="74">
        <f t="shared" si="318"/>
        <v>0.10560619815437675</v>
      </c>
      <c r="R757" s="74">
        <f t="shared" si="318"/>
        <v>-1.0244776960648225</v>
      </c>
      <c r="S757" s="74">
        <f t="shared" si="318"/>
        <v>12.104523279565173</v>
      </c>
      <c r="T757" s="74">
        <f t="shared" si="318"/>
        <v>17.241750279439621</v>
      </c>
      <c r="U757" s="74">
        <f t="shared" si="318"/>
        <v>0</v>
      </c>
      <c r="V757" s="74">
        <f t="shared" si="318"/>
        <v>0</v>
      </c>
      <c r="W757" s="74">
        <f t="shared" si="318"/>
        <v>0</v>
      </c>
      <c r="X757" s="74">
        <f t="shared" si="318"/>
        <v>0</v>
      </c>
      <c r="Y757" s="74">
        <f t="shared" si="318"/>
        <v>0</v>
      </c>
      <c r="Z757" s="74">
        <f t="shared" si="318"/>
        <v>0</v>
      </c>
      <c r="AA757" s="74">
        <f t="shared" si="318"/>
        <v>0</v>
      </c>
      <c r="AB757" s="74">
        <f t="shared" si="318"/>
        <v>0</v>
      </c>
      <c r="AC757" s="74">
        <f t="shared" si="318"/>
        <v>0</v>
      </c>
      <c r="AD757" s="74">
        <f t="shared" si="318"/>
        <v>0</v>
      </c>
    </row>
    <row r="758" spans="1:30" s="73" customFormat="1" ht="13.5" thickBot="1">
      <c r="A758" s="72" t="s">
        <v>137</v>
      </c>
      <c r="B758" s="73" t="s">
        <v>405</v>
      </c>
      <c r="C758" s="74"/>
      <c r="D758" s="156">
        <f>D757</f>
        <v>-247.56779542851146</v>
      </c>
      <c r="E758" s="74">
        <f t="shared" ref="E758:AD758" si="319">D758+E757</f>
        <v>-865.41277099879835</v>
      </c>
      <c r="F758" s="74">
        <f t="shared" si="319"/>
        <v>-933.02646794004363</v>
      </c>
      <c r="G758" s="74">
        <f t="shared" si="319"/>
        <v>-814.06152240683116</v>
      </c>
      <c r="H758" s="74">
        <f t="shared" si="319"/>
        <v>-733.35422808225087</v>
      </c>
      <c r="I758" s="74">
        <f t="shared" si="319"/>
        <v>-666.28560610884176</v>
      </c>
      <c r="J758" s="74">
        <f t="shared" si="319"/>
        <v>-624.65464547758188</v>
      </c>
      <c r="K758" s="74">
        <f t="shared" si="319"/>
        <v>-617.81094562443593</v>
      </c>
      <c r="L758" s="74">
        <f t="shared" si="319"/>
        <v>-631.45031648882878</v>
      </c>
      <c r="M758" s="74">
        <f t="shared" si="319"/>
        <v>-653.20167887705122</v>
      </c>
      <c r="N758" s="74">
        <f t="shared" si="319"/>
        <v>-668.87065387763357</v>
      </c>
      <c r="O758" s="74">
        <f t="shared" si="319"/>
        <v>-684.09032808400752</v>
      </c>
      <c r="P758" s="74">
        <f t="shared" si="319"/>
        <v>-686.50284027194698</v>
      </c>
      <c r="Q758" s="74">
        <f t="shared" si="319"/>
        <v>-686.39723407379256</v>
      </c>
      <c r="R758" s="74">
        <f t="shared" si="319"/>
        <v>-687.42171176985744</v>
      </c>
      <c r="S758" s="74">
        <f t="shared" si="319"/>
        <v>-675.31718849029221</v>
      </c>
      <c r="T758" s="74">
        <f t="shared" si="319"/>
        <v>-658.07543821085255</v>
      </c>
      <c r="U758" s="74">
        <f t="shared" si="319"/>
        <v>-658.07543821085255</v>
      </c>
      <c r="V758" s="74">
        <f t="shared" si="319"/>
        <v>-658.07543821085255</v>
      </c>
      <c r="W758" s="74">
        <f t="shared" si="319"/>
        <v>-658.07543821085255</v>
      </c>
      <c r="X758" s="74">
        <f t="shared" si="319"/>
        <v>-658.07543821085255</v>
      </c>
      <c r="Y758" s="74">
        <f t="shared" si="319"/>
        <v>-658.07543821085255</v>
      </c>
      <c r="Z758" s="74">
        <f t="shared" si="319"/>
        <v>-658.07543821085255</v>
      </c>
      <c r="AA758" s="74">
        <f t="shared" si="319"/>
        <v>-658.07543821085255</v>
      </c>
      <c r="AB758" s="74">
        <f t="shared" si="319"/>
        <v>-658.07543821085255</v>
      </c>
      <c r="AC758" s="74">
        <f t="shared" si="319"/>
        <v>-658.07543821085255</v>
      </c>
      <c r="AD758" s="74">
        <f t="shared" si="319"/>
        <v>-658.07543821085255</v>
      </c>
    </row>
    <row r="759" spans="1:30" s="73" customFormat="1" ht="21.5" thickBot="1">
      <c r="A759" s="72" t="str">
        <f>"NPV - "&amp;A3</f>
        <v>NPV - Low Case</v>
      </c>
      <c r="B759" s="73" t="s">
        <v>405</v>
      </c>
      <c r="C759" s="84">
        <f>SUM(D757:AD757)</f>
        <v>-658.07543821085255</v>
      </c>
      <c r="D759" s="74"/>
      <c r="E759" s="74"/>
      <c r="F759" s="74"/>
      <c r="G759" s="74"/>
      <c r="H759" s="74"/>
      <c r="I759" s="74"/>
      <c r="J759" s="74"/>
      <c r="K759" s="74"/>
      <c r="L759" s="74"/>
      <c r="M759" s="74"/>
      <c r="N759" s="74"/>
      <c r="O759" s="74"/>
      <c r="P759" s="74"/>
      <c r="Q759" s="74"/>
      <c r="R759" s="74"/>
      <c r="S759" s="74"/>
      <c r="T759" s="74"/>
      <c r="U759" s="74"/>
      <c r="V759" s="74"/>
      <c r="W759" s="74"/>
      <c r="X759" s="74"/>
      <c r="Y759" s="74"/>
      <c r="Z759" s="74"/>
      <c r="AA759" s="74"/>
      <c r="AB759" s="74"/>
      <c r="AC759" s="74"/>
      <c r="AD759" s="74"/>
    </row>
    <row r="760" spans="1:30" s="73" customFormat="1">
      <c r="A760" s="112"/>
      <c r="C760" s="111"/>
      <c r="D760" s="111"/>
      <c r="E760" s="111"/>
      <c r="F760" s="111"/>
      <c r="G760" s="111"/>
      <c r="H760" s="111"/>
      <c r="I760" s="111"/>
      <c r="J760" s="111"/>
      <c r="K760" s="111"/>
      <c r="L760" s="111"/>
      <c r="M760" s="111"/>
      <c r="N760" s="111"/>
      <c r="O760" s="111"/>
      <c r="P760" s="111"/>
      <c r="Q760" s="111"/>
      <c r="R760" s="111"/>
      <c r="S760" s="111"/>
      <c r="T760" s="111"/>
      <c r="U760" s="111"/>
      <c r="V760" s="111"/>
      <c r="W760" s="111"/>
      <c r="X760" s="111"/>
      <c r="Y760" s="111"/>
      <c r="Z760" s="111"/>
      <c r="AA760" s="111"/>
      <c r="AB760" s="111"/>
      <c r="AC760" s="111"/>
      <c r="AD760" s="111"/>
    </row>
    <row r="761" spans="1:30" ht="14" customHeight="1">
      <c r="A761" s="282" t="s">
        <v>601</v>
      </c>
    </row>
    <row r="762" spans="1:30" ht="114" customHeight="1"/>
    <row r="763" spans="1:30" ht="45" customHeight="1">
      <c r="A763" s="23" t="s">
        <v>18</v>
      </c>
    </row>
    <row r="764" spans="1:30">
      <c r="A764" s="315" t="str">
        <f>'Expected NPV &amp; Common Data'!A$36</f>
        <v>Calendar Year --&gt;</v>
      </c>
      <c r="B764" s="316" t="str">
        <f>'Expected NPV &amp; Common Data'!B$36</f>
        <v>units</v>
      </c>
      <c r="C764" s="317" t="str">
        <f>'Expected NPV &amp; Common Data'!C$36</f>
        <v>Total</v>
      </c>
      <c r="D764" s="318">
        <f>'Expected NPV &amp; Common Data'!D$36</f>
        <v>2027</v>
      </c>
      <c r="E764" s="318">
        <f>'Expected NPV &amp; Common Data'!E$36</f>
        <v>2028</v>
      </c>
      <c r="F764" s="318">
        <f>'Expected NPV &amp; Common Data'!F$36</f>
        <v>2029</v>
      </c>
      <c r="G764" s="318">
        <f>'Expected NPV &amp; Common Data'!G$36</f>
        <v>2030</v>
      </c>
      <c r="H764" s="318">
        <f>'Expected NPV &amp; Common Data'!H$36</f>
        <v>2031</v>
      </c>
      <c r="I764" s="318">
        <f>'Expected NPV &amp; Common Data'!I$36</f>
        <v>2032</v>
      </c>
      <c r="J764" s="318">
        <f>'Expected NPV &amp; Common Data'!J$36</f>
        <v>2033</v>
      </c>
      <c r="K764" s="318">
        <f>'Expected NPV &amp; Common Data'!K$36</f>
        <v>2034</v>
      </c>
      <c r="L764" s="318">
        <f>'Expected NPV &amp; Common Data'!L$36</f>
        <v>2035</v>
      </c>
      <c r="M764" s="318">
        <f>'Expected NPV &amp; Common Data'!M$36</f>
        <v>2036</v>
      </c>
      <c r="N764" s="318">
        <f>'Expected NPV &amp; Common Data'!N$36</f>
        <v>2037</v>
      </c>
      <c r="O764" s="318">
        <f>'Expected NPV &amp; Common Data'!O$36</f>
        <v>2038</v>
      </c>
      <c r="P764" s="318">
        <f>'Expected NPV &amp; Common Data'!P$36</f>
        <v>2039</v>
      </c>
      <c r="Q764" s="318">
        <f>'Expected NPV &amp; Common Data'!Q$36</f>
        <v>2040</v>
      </c>
      <c r="R764" s="318">
        <f>'Expected NPV &amp; Common Data'!R$36</f>
        <v>2041</v>
      </c>
      <c r="S764" s="318">
        <f>'Expected NPV &amp; Common Data'!S$36</f>
        <v>2042</v>
      </c>
      <c r="T764" s="318">
        <f>'Expected NPV &amp; Common Data'!T$36</f>
        <v>2043</v>
      </c>
      <c r="U764" s="318">
        <f>'Expected NPV &amp; Common Data'!U$36</f>
        <v>2044</v>
      </c>
      <c r="V764" s="318">
        <f>'Expected NPV &amp; Common Data'!V$36</f>
        <v>2045</v>
      </c>
      <c r="W764" s="318">
        <f>'Expected NPV &amp; Common Data'!W$36</f>
        <v>2046</v>
      </c>
      <c r="X764" s="318">
        <f>'Expected NPV &amp; Common Data'!X$36</f>
        <v>2047</v>
      </c>
      <c r="Y764" s="318">
        <f>'Expected NPV &amp; Common Data'!Y$36</f>
        <v>2048</v>
      </c>
      <c r="Z764" s="318">
        <f>'Expected NPV &amp; Common Data'!Z$36</f>
        <v>2049</v>
      </c>
      <c r="AA764" s="318">
        <f>'Expected NPV &amp; Common Data'!AA$36</f>
        <v>2050</v>
      </c>
      <c r="AB764" s="318">
        <f>'Expected NPV &amp; Common Data'!AB$36</f>
        <v>2051</v>
      </c>
      <c r="AC764" s="318">
        <f>'Expected NPV &amp; Common Data'!AC$36</f>
        <v>2052</v>
      </c>
      <c r="AD764" s="318">
        <f>'Expected NPV &amp; Common Data'!AD$36</f>
        <v>2053</v>
      </c>
    </row>
    <row r="765" spans="1:30">
      <c r="A765" s="45" t="str">
        <f>A311</f>
        <v>Cashstream 1: Revenue - Low Case</v>
      </c>
      <c r="D765" s="75">
        <f t="shared" ref="D765:AD765" si="320">D311</f>
        <v>0</v>
      </c>
      <c r="E765" s="75">
        <f t="shared" si="320"/>
        <v>0</v>
      </c>
      <c r="F765" s="75">
        <f t="shared" si="320"/>
        <v>241.34010039283348</v>
      </c>
      <c r="G765" s="75">
        <f t="shared" si="320"/>
        <v>480.40218509434141</v>
      </c>
      <c r="H765" s="75">
        <f t="shared" si="320"/>
        <v>537.2580389669946</v>
      </c>
      <c r="I765" s="75">
        <f t="shared" si="320"/>
        <v>540.60574889670966</v>
      </c>
      <c r="J765" s="75">
        <f t="shared" si="320"/>
        <v>560.53291314932892</v>
      </c>
      <c r="K765" s="75">
        <f t="shared" si="320"/>
        <v>479.25242191222549</v>
      </c>
      <c r="L765" s="75">
        <f t="shared" si="320"/>
        <v>443.19344110709488</v>
      </c>
      <c r="M765" s="75">
        <f t="shared" si="320"/>
        <v>437.89350118083541</v>
      </c>
      <c r="N765" s="75">
        <f t="shared" si="320"/>
        <v>437.64840333579383</v>
      </c>
      <c r="O765" s="75">
        <f t="shared" si="320"/>
        <v>437.64840333579383</v>
      </c>
      <c r="P765" s="75">
        <f t="shared" si="320"/>
        <v>457.88546979701459</v>
      </c>
      <c r="Q765" s="75">
        <f t="shared" si="320"/>
        <v>373.18115785680482</v>
      </c>
      <c r="R765" s="75">
        <f t="shared" si="320"/>
        <v>362.68127423568251</v>
      </c>
      <c r="S765" s="75">
        <f t="shared" si="320"/>
        <v>362.43481486835373</v>
      </c>
      <c r="T765" s="75">
        <f t="shared" si="320"/>
        <v>496.77248202319396</v>
      </c>
      <c r="U765" s="75">
        <f t="shared" si="320"/>
        <v>0</v>
      </c>
      <c r="V765" s="75">
        <f t="shared" si="320"/>
        <v>0</v>
      </c>
      <c r="W765" s="75">
        <f t="shared" si="320"/>
        <v>0</v>
      </c>
      <c r="X765" s="75">
        <f t="shared" si="320"/>
        <v>0</v>
      </c>
      <c r="Y765" s="75">
        <f t="shared" si="320"/>
        <v>0</v>
      </c>
      <c r="Z765" s="75">
        <f t="shared" si="320"/>
        <v>0</v>
      </c>
      <c r="AA765" s="75">
        <f t="shared" si="320"/>
        <v>0</v>
      </c>
      <c r="AB765" s="75">
        <f t="shared" si="320"/>
        <v>0</v>
      </c>
      <c r="AC765" s="75">
        <f t="shared" si="320"/>
        <v>0</v>
      </c>
      <c r="AD765" s="75">
        <f t="shared" si="320"/>
        <v>0</v>
      </c>
    </row>
    <row r="766" spans="1:30">
      <c r="A766" s="45" t="str">
        <f>A359</f>
        <v>Cashstream 2: Capital Costs - Low Case</v>
      </c>
      <c r="D766" s="75">
        <f t="shared" ref="D766:AD766" si="321">-D359</f>
        <v>-255</v>
      </c>
      <c r="E766" s="75">
        <f t="shared" si="321"/>
        <v>-543</v>
      </c>
      <c r="F766" s="75">
        <f t="shared" si="321"/>
        <v>-73.727999999999994</v>
      </c>
      <c r="G766" s="75">
        <f t="shared" si="321"/>
        <v>-33.527999999999999</v>
      </c>
      <c r="H766" s="75">
        <f t="shared" si="321"/>
        <v>-33.527999999999999</v>
      </c>
      <c r="I766" s="75">
        <f t="shared" si="321"/>
        <v>-48.527999999999999</v>
      </c>
      <c r="J766" s="75">
        <f t="shared" si="321"/>
        <v>-33.527999999999999</v>
      </c>
      <c r="K766" s="75">
        <f t="shared" si="321"/>
        <v>-33.527999999999999</v>
      </c>
      <c r="L766" s="75">
        <f t="shared" si="321"/>
        <v>-33.527999999999999</v>
      </c>
      <c r="M766" s="75">
        <f t="shared" si="321"/>
        <v>-45.527999999999999</v>
      </c>
      <c r="N766" s="75">
        <f t="shared" si="321"/>
        <v>-33.527999999999999</v>
      </c>
      <c r="O766" s="75">
        <f t="shared" si="321"/>
        <v>-33.527999999999999</v>
      </c>
      <c r="P766" s="75">
        <f t="shared" si="321"/>
        <v>-33.527999999999999</v>
      </c>
      <c r="Q766" s="75">
        <f t="shared" si="321"/>
        <v>-42.527999999999999</v>
      </c>
      <c r="R766" s="75">
        <f t="shared" si="321"/>
        <v>-33.527999999999999</v>
      </c>
      <c r="S766" s="75">
        <f t="shared" si="321"/>
        <v>-33.527999999999999</v>
      </c>
      <c r="T766" s="75">
        <f t="shared" si="321"/>
        <v>-33.527999999999999</v>
      </c>
      <c r="U766" s="75">
        <f t="shared" si="321"/>
        <v>0</v>
      </c>
      <c r="V766" s="75">
        <f t="shared" si="321"/>
        <v>0</v>
      </c>
      <c r="W766" s="75">
        <f t="shared" si="321"/>
        <v>0</v>
      </c>
      <c r="X766" s="75">
        <f t="shared" si="321"/>
        <v>0</v>
      </c>
      <c r="Y766" s="75">
        <f t="shared" si="321"/>
        <v>0</v>
      </c>
      <c r="Z766" s="75">
        <f t="shared" si="321"/>
        <v>0</v>
      </c>
      <c r="AA766" s="75">
        <f t="shared" si="321"/>
        <v>0</v>
      </c>
      <c r="AB766" s="75">
        <f t="shared" si="321"/>
        <v>0</v>
      </c>
      <c r="AC766" s="75">
        <f t="shared" si="321"/>
        <v>0</v>
      </c>
      <c r="AD766" s="75">
        <f t="shared" si="321"/>
        <v>0</v>
      </c>
    </row>
    <row r="767" spans="1:30">
      <c r="A767" s="45" t="str">
        <f>A649</f>
        <v>Cashstream 3: Operating Costs - Low Case</v>
      </c>
      <c r="C767" s="75">
        <f>SUM(D767:AD767)</f>
        <v>-5426.5194164788827</v>
      </c>
      <c r="D767" s="75">
        <f t="shared" ref="D767:AD767" si="322">-D649</f>
        <v>-2.2799999999999998</v>
      </c>
      <c r="E767" s="75">
        <f t="shared" si="322"/>
        <v>-150.44999999999999</v>
      </c>
      <c r="F767" s="75">
        <f t="shared" si="322"/>
        <v>-231.36818890378106</v>
      </c>
      <c r="G767" s="75">
        <f t="shared" si="322"/>
        <v>-256.64497135170421</v>
      </c>
      <c r="H767" s="75">
        <f t="shared" si="322"/>
        <v>-352.39140329251842</v>
      </c>
      <c r="I767" s="75">
        <f t="shared" si="322"/>
        <v>-352.43992445037031</v>
      </c>
      <c r="J767" s="75">
        <f t="shared" si="322"/>
        <v>-419.62546654036254</v>
      </c>
      <c r="K767" s="75">
        <f t="shared" si="322"/>
        <v>-400.31888516627538</v>
      </c>
      <c r="L767" s="75">
        <f t="shared" si="322"/>
        <v>-404.21773950335592</v>
      </c>
      <c r="M767" s="75">
        <f t="shared" si="322"/>
        <v>-405.96747684946075</v>
      </c>
      <c r="N767" s="75">
        <f t="shared" si="322"/>
        <v>-407.694420396841</v>
      </c>
      <c r="O767" s="75">
        <f t="shared" si="322"/>
        <v>-409.42183337969499</v>
      </c>
      <c r="P767" s="75">
        <f t="shared" si="322"/>
        <v>-397.95666429118103</v>
      </c>
      <c r="Q767" s="75">
        <f t="shared" si="322"/>
        <v>-302.71668608415951</v>
      </c>
      <c r="R767" s="75">
        <f t="shared" si="322"/>
        <v>-304.8728567406809</v>
      </c>
      <c r="S767" s="75">
        <f t="shared" si="322"/>
        <v>-261.59900032744258</v>
      </c>
      <c r="T767" s="75">
        <f t="shared" si="322"/>
        <v>-366.55389920105415</v>
      </c>
      <c r="U767" s="75">
        <f t="shared" si="322"/>
        <v>0</v>
      </c>
      <c r="V767" s="75">
        <f t="shared" si="322"/>
        <v>0</v>
      </c>
      <c r="W767" s="75">
        <f t="shared" si="322"/>
        <v>0</v>
      </c>
      <c r="X767" s="75">
        <f t="shared" si="322"/>
        <v>0</v>
      </c>
      <c r="Y767" s="75">
        <f t="shared" si="322"/>
        <v>0</v>
      </c>
      <c r="Z767" s="75">
        <f t="shared" si="322"/>
        <v>0</v>
      </c>
      <c r="AA767" s="75">
        <f t="shared" si="322"/>
        <v>0</v>
      </c>
      <c r="AB767" s="75">
        <f t="shared" si="322"/>
        <v>0</v>
      </c>
      <c r="AC767" s="75">
        <f t="shared" si="322"/>
        <v>0</v>
      </c>
      <c r="AD767" s="75">
        <f t="shared" si="322"/>
        <v>0</v>
      </c>
    </row>
    <row r="768" spans="1:30">
      <c r="A768" s="45" t="str">
        <f>A739</f>
        <v>Cashstream 4: Taxes - Low Case</v>
      </c>
      <c r="D768" s="75">
        <f t="shared" ref="D768:AD768" si="323">-D739</f>
        <v>0</v>
      </c>
      <c r="E768" s="75">
        <f t="shared" si="323"/>
        <v>0</v>
      </c>
      <c r="F768" s="75">
        <f t="shared" si="323"/>
        <v>-18.202424704570948</v>
      </c>
      <c r="G768" s="75">
        <f t="shared" si="323"/>
        <v>-34.488502290767919</v>
      </c>
      <c r="H768" s="75">
        <f t="shared" si="323"/>
        <v>-37.229691299152279</v>
      </c>
      <c r="I768" s="75">
        <f t="shared" si="323"/>
        <v>-37.226015258684136</v>
      </c>
      <c r="J768" s="75">
        <f t="shared" si="323"/>
        <v>-38.72465662371291</v>
      </c>
      <c r="K768" s="75">
        <f t="shared" si="323"/>
        <v>-33.216507462537216</v>
      </c>
      <c r="L768" s="75">
        <f t="shared" si="323"/>
        <v>-31.683619308509137</v>
      </c>
      <c r="M768" s="75">
        <f t="shared" si="323"/>
        <v>-31.584881995003045</v>
      </c>
      <c r="N768" s="75">
        <f t="shared" si="323"/>
        <v>-31.581219143707038</v>
      </c>
      <c r="O768" s="75">
        <f t="shared" si="323"/>
        <v>-31.577519663898087</v>
      </c>
      <c r="P768" s="75">
        <f t="shared" si="323"/>
        <v>-32.714251352138632</v>
      </c>
      <c r="Q768" s="75">
        <f t="shared" si="323"/>
        <v>-27.637995297488743</v>
      </c>
      <c r="R768" s="75">
        <f t="shared" si="323"/>
        <v>-27.40755488558359</v>
      </c>
      <c r="S768" s="75">
        <f t="shared" si="323"/>
        <v>-27.403863398642663</v>
      </c>
      <c r="T768" s="75">
        <f t="shared" si="323"/>
        <v>-35.304020092072406</v>
      </c>
      <c r="U768" s="75">
        <f t="shared" si="323"/>
        <v>0</v>
      </c>
      <c r="V768" s="75">
        <f t="shared" si="323"/>
        <v>0</v>
      </c>
      <c r="W768" s="75">
        <f t="shared" si="323"/>
        <v>0</v>
      </c>
      <c r="X768" s="75">
        <f t="shared" si="323"/>
        <v>0</v>
      </c>
      <c r="Y768" s="75">
        <f t="shared" si="323"/>
        <v>0</v>
      </c>
      <c r="Z768" s="75">
        <f t="shared" si="323"/>
        <v>0</v>
      </c>
      <c r="AA768" s="75">
        <f t="shared" si="323"/>
        <v>0</v>
      </c>
      <c r="AB768" s="75">
        <f t="shared" si="323"/>
        <v>0</v>
      </c>
      <c r="AC768" s="75">
        <f t="shared" si="323"/>
        <v>0</v>
      </c>
      <c r="AD768" s="75">
        <f t="shared" si="323"/>
        <v>0</v>
      </c>
    </row>
    <row r="769" spans="1:30">
      <c r="A769" s="13" t="s">
        <v>19</v>
      </c>
      <c r="D769" s="75">
        <f t="shared" ref="D769:AD769" si="324">IF(SUM(D765:D768)&gt;0,SUM(D765:D768),0)</f>
        <v>0</v>
      </c>
      <c r="E769" s="75">
        <f t="shared" si="324"/>
        <v>0</v>
      </c>
      <c r="F769" s="75">
        <f t="shared" si="324"/>
        <v>0</v>
      </c>
      <c r="G769" s="75">
        <f t="shared" si="324"/>
        <v>155.74071145186926</v>
      </c>
      <c r="H769" s="75">
        <f t="shared" si="324"/>
        <v>114.10894437532389</v>
      </c>
      <c r="I769" s="75">
        <f t="shared" si="324"/>
        <v>102.41180918765519</v>
      </c>
      <c r="J769" s="75">
        <f t="shared" si="324"/>
        <v>68.654789985253444</v>
      </c>
      <c r="K769" s="75">
        <f t="shared" si="324"/>
        <v>12.189029283412872</v>
      </c>
      <c r="L769" s="75">
        <f t="shared" si="324"/>
        <v>0</v>
      </c>
      <c r="M769" s="75">
        <f t="shared" si="324"/>
        <v>0</v>
      </c>
      <c r="N769" s="75">
        <f t="shared" si="324"/>
        <v>0</v>
      </c>
      <c r="O769" s="75">
        <f t="shared" si="324"/>
        <v>0</v>
      </c>
      <c r="P769" s="75">
        <f t="shared" si="324"/>
        <v>0</v>
      </c>
      <c r="Q769" s="75">
        <f t="shared" si="324"/>
        <v>0.29847647515654785</v>
      </c>
      <c r="R769" s="75">
        <f t="shared" si="324"/>
        <v>0</v>
      </c>
      <c r="S769" s="75">
        <f t="shared" si="324"/>
        <v>39.903951142268461</v>
      </c>
      <c r="T769" s="75">
        <f t="shared" si="324"/>
        <v>61.386562730067382</v>
      </c>
      <c r="U769" s="75">
        <f t="shared" si="324"/>
        <v>0</v>
      </c>
      <c r="V769" s="75">
        <f t="shared" si="324"/>
        <v>0</v>
      </c>
      <c r="W769" s="75">
        <f t="shared" si="324"/>
        <v>0</v>
      </c>
      <c r="X769" s="75">
        <f t="shared" si="324"/>
        <v>0</v>
      </c>
      <c r="Y769" s="75">
        <f t="shared" si="324"/>
        <v>0</v>
      </c>
      <c r="Z769" s="75">
        <f t="shared" si="324"/>
        <v>0</v>
      </c>
      <c r="AA769" s="75">
        <f t="shared" si="324"/>
        <v>0</v>
      </c>
      <c r="AB769" s="75">
        <f t="shared" si="324"/>
        <v>0</v>
      </c>
      <c r="AC769" s="75">
        <f t="shared" si="324"/>
        <v>0</v>
      </c>
      <c r="AD769" s="75">
        <f t="shared" si="324"/>
        <v>0</v>
      </c>
    </row>
    <row r="770" spans="1:30">
      <c r="A770" s="13" t="s">
        <v>20</v>
      </c>
      <c r="D770" s="75">
        <f t="shared" ref="D770:AD770" si="325">IF(SUM(D765:D768)&lt;0,-SUM(D765:D768),0)</f>
        <v>257.27999999999997</v>
      </c>
      <c r="E770" s="75">
        <f t="shared" si="325"/>
        <v>693.45</v>
      </c>
      <c r="F770" s="75">
        <f t="shared" si="325"/>
        <v>81.958513215518508</v>
      </c>
      <c r="G770" s="75">
        <f t="shared" si="325"/>
        <v>0</v>
      </c>
      <c r="H770" s="75">
        <f t="shared" si="325"/>
        <v>0</v>
      </c>
      <c r="I770" s="75">
        <f t="shared" si="325"/>
        <v>0</v>
      </c>
      <c r="J770" s="75">
        <f t="shared" si="325"/>
        <v>0</v>
      </c>
      <c r="K770" s="75">
        <f t="shared" si="325"/>
        <v>0</v>
      </c>
      <c r="L770" s="75">
        <f t="shared" si="325"/>
        <v>26.235917704770188</v>
      </c>
      <c r="M770" s="75">
        <f t="shared" si="325"/>
        <v>45.186857663628402</v>
      </c>
      <c r="N770" s="75">
        <f t="shared" si="325"/>
        <v>35.155236204754225</v>
      </c>
      <c r="O770" s="75">
        <f t="shared" si="325"/>
        <v>36.878949707799265</v>
      </c>
      <c r="P770" s="75">
        <f t="shared" si="325"/>
        <v>6.3134458463050862</v>
      </c>
      <c r="Q770" s="75">
        <f t="shared" si="325"/>
        <v>0</v>
      </c>
      <c r="R770" s="75">
        <f t="shared" si="325"/>
        <v>3.1271373905820035</v>
      </c>
      <c r="S770" s="75">
        <f t="shared" si="325"/>
        <v>0</v>
      </c>
      <c r="T770" s="75">
        <f t="shared" si="325"/>
        <v>0</v>
      </c>
      <c r="U770" s="75">
        <f t="shared" si="325"/>
        <v>0</v>
      </c>
      <c r="V770" s="75">
        <f t="shared" si="325"/>
        <v>0</v>
      </c>
      <c r="W770" s="75">
        <f t="shared" si="325"/>
        <v>0</v>
      </c>
      <c r="X770" s="75">
        <f t="shared" si="325"/>
        <v>0</v>
      </c>
      <c r="Y770" s="75">
        <f t="shared" si="325"/>
        <v>0</v>
      </c>
      <c r="Z770" s="75">
        <f t="shared" si="325"/>
        <v>0</v>
      </c>
      <c r="AA770" s="75">
        <f t="shared" si="325"/>
        <v>0</v>
      </c>
      <c r="AB770" s="75">
        <f t="shared" si="325"/>
        <v>0</v>
      </c>
      <c r="AC770" s="75">
        <f t="shared" si="325"/>
        <v>0</v>
      </c>
      <c r="AD770" s="75">
        <f t="shared" si="325"/>
        <v>0</v>
      </c>
    </row>
    <row r="771" spans="1:30">
      <c r="A771" s="13" t="s">
        <v>22</v>
      </c>
      <c r="D771" s="75">
        <f t="shared" ref="D771:AD771" si="326">D769-D770</f>
        <v>-257.27999999999997</v>
      </c>
      <c r="E771" s="75">
        <f t="shared" si="326"/>
        <v>-693.45</v>
      </c>
      <c r="F771" s="75">
        <f t="shared" si="326"/>
        <v>-81.958513215518508</v>
      </c>
      <c r="G771" s="75">
        <f t="shared" si="326"/>
        <v>155.74071145186926</v>
      </c>
      <c r="H771" s="75">
        <f t="shared" si="326"/>
        <v>114.10894437532389</v>
      </c>
      <c r="I771" s="75">
        <f t="shared" si="326"/>
        <v>102.41180918765519</v>
      </c>
      <c r="J771" s="75">
        <f t="shared" si="326"/>
        <v>68.654789985253444</v>
      </c>
      <c r="K771" s="75">
        <f t="shared" si="326"/>
        <v>12.189029283412872</v>
      </c>
      <c r="L771" s="75">
        <f t="shared" si="326"/>
        <v>-26.235917704770188</v>
      </c>
      <c r="M771" s="75">
        <f t="shared" si="326"/>
        <v>-45.186857663628402</v>
      </c>
      <c r="N771" s="75">
        <f t="shared" si="326"/>
        <v>-35.155236204754225</v>
      </c>
      <c r="O771" s="75">
        <f t="shared" si="326"/>
        <v>-36.878949707799265</v>
      </c>
      <c r="P771" s="75">
        <f t="shared" si="326"/>
        <v>-6.3134458463050862</v>
      </c>
      <c r="Q771" s="75">
        <f t="shared" si="326"/>
        <v>0.29847647515654785</v>
      </c>
      <c r="R771" s="75">
        <f t="shared" si="326"/>
        <v>-3.1271373905820035</v>
      </c>
      <c r="S771" s="75">
        <f t="shared" si="326"/>
        <v>39.903951142268461</v>
      </c>
      <c r="T771" s="75">
        <f t="shared" si="326"/>
        <v>61.386562730067382</v>
      </c>
      <c r="U771" s="75">
        <f t="shared" si="326"/>
        <v>0</v>
      </c>
      <c r="V771" s="75">
        <f t="shared" si="326"/>
        <v>0</v>
      </c>
      <c r="W771" s="75">
        <f t="shared" si="326"/>
        <v>0</v>
      </c>
      <c r="X771" s="75">
        <f t="shared" si="326"/>
        <v>0</v>
      </c>
      <c r="Y771" s="75">
        <f t="shared" si="326"/>
        <v>0</v>
      </c>
      <c r="Z771" s="75">
        <f t="shared" si="326"/>
        <v>0</v>
      </c>
      <c r="AA771" s="75">
        <f t="shared" si="326"/>
        <v>0</v>
      </c>
      <c r="AB771" s="75">
        <f t="shared" si="326"/>
        <v>0</v>
      </c>
      <c r="AC771" s="75">
        <f t="shared" si="326"/>
        <v>0</v>
      </c>
      <c r="AD771" s="75">
        <f t="shared" si="326"/>
        <v>0</v>
      </c>
    </row>
    <row r="772" spans="1:30">
      <c r="A772" s="76"/>
      <c r="B772" s="76"/>
      <c r="C772" s="77"/>
      <c r="D772" s="78"/>
      <c r="E772" s="78"/>
      <c r="F772" s="77"/>
      <c r="G772" s="77"/>
      <c r="H772" s="77"/>
      <c r="I772" s="77"/>
      <c r="J772" s="77"/>
      <c r="K772" s="77"/>
      <c r="L772" s="77"/>
      <c r="M772" s="77"/>
      <c r="N772" s="77"/>
      <c r="O772" s="77"/>
      <c r="P772" s="77"/>
      <c r="Q772" s="77"/>
      <c r="R772" s="77"/>
      <c r="S772" s="77"/>
      <c r="T772" s="77"/>
      <c r="U772" s="77"/>
      <c r="V772" s="77"/>
      <c r="W772" s="77"/>
      <c r="X772" s="77"/>
      <c r="Y772" s="77"/>
      <c r="Z772" s="77"/>
      <c r="AA772" s="77"/>
      <c r="AB772" s="77"/>
      <c r="AC772" s="77"/>
      <c r="AD772" s="77"/>
    </row>
  </sheetData>
  <pageMargins left="0.70866141732283472" right="0.70866141732283472" top="0.74803149606299213" bottom="0.74803149606299213" header="0.31496062992125984" footer="0.31496062992125984"/>
  <pageSetup paperSize="9" scale="23"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539D87-B396-4077-B0E0-B9C19A320CD1}">
  <sheetPr>
    <pageSetUpPr fitToPage="1"/>
  </sheetPr>
  <dimension ref="A1:AD772"/>
  <sheetViews>
    <sheetView zoomScaleNormal="100" workbookViewId="0">
      <pane xSplit="24380" topLeftCell="AC1"/>
      <selection activeCell="D3" sqref="D3"/>
      <selection pane="topRight" activeCell="AD646" sqref="AD646"/>
    </sheetView>
  </sheetViews>
  <sheetFormatPr defaultColWidth="8.90625" defaultRowHeight="13" outlineLevelRow="1"/>
  <cols>
    <col min="1" max="1" width="41.54296875" style="13" customWidth="1"/>
    <col min="2" max="2" width="18.36328125" style="13" customWidth="1"/>
    <col min="3" max="3" width="22.1796875" style="15" customWidth="1"/>
    <col min="4" max="10" width="12.54296875" style="38" customWidth="1"/>
    <col min="11" max="11" width="12.6328125" style="38" customWidth="1"/>
    <col min="12" max="12" width="12.54296875" style="38" customWidth="1"/>
    <col min="13" max="13" width="7.36328125" style="38" customWidth="1"/>
    <col min="14" max="30" width="12.54296875" style="38" customWidth="1"/>
    <col min="31" max="16384" width="8.90625" style="13"/>
  </cols>
  <sheetData>
    <row r="1" spans="1:13" s="195" customFormat="1" ht="30.75" customHeight="1">
      <c r="A1" s="194" t="str">
        <f>'Intro &amp; log of testing'!A1</f>
        <v>Worked Example - Long &amp; Detailed Business Evaluation - www.economicevaluation.com.au</v>
      </c>
      <c r="B1" s="194"/>
      <c r="C1" s="194"/>
      <c r="D1" s="194"/>
    </row>
    <row r="2" spans="1:13" s="100" customFormat="1" ht="21" customHeight="1">
      <c r="A2" s="196" t="s">
        <v>514</v>
      </c>
    </row>
    <row r="3" spans="1:13" s="122" customFormat="1" ht="37" customHeight="1">
      <c r="A3" s="228" t="s">
        <v>428</v>
      </c>
    </row>
    <row r="4" spans="1:13" s="21" customFormat="1" ht="48" customHeight="1">
      <c r="A4" s="21" t="s">
        <v>542</v>
      </c>
    </row>
    <row r="5" spans="1:13" s="100" customFormat="1" ht="15.5">
      <c r="A5" s="1" t="s">
        <v>7</v>
      </c>
      <c r="B5" s="117"/>
      <c r="C5" s="40"/>
      <c r="D5" s="85"/>
      <c r="E5" s="85"/>
      <c r="F5" s="85"/>
      <c r="G5" s="85"/>
      <c r="H5" s="85"/>
      <c r="I5" s="85"/>
      <c r="J5" s="85"/>
      <c r="K5" s="85"/>
      <c r="L5" s="85"/>
      <c r="M5" s="85"/>
    </row>
    <row r="6" spans="1:13" s="8" customFormat="1" ht="15.5">
      <c r="A6" s="134" t="str">
        <f>A139</f>
        <v xml:space="preserve">ore - aggregate  </v>
      </c>
      <c r="B6" s="134" t="str">
        <f t="shared" ref="B6:C6" si="0">B139</f>
        <v>millions dry tonnes</v>
      </c>
      <c r="C6" s="227">
        <f t="shared" si="0"/>
        <v>118</v>
      </c>
      <c r="D6" s="3"/>
      <c r="E6" s="3"/>
      <c r="F6" s="3"/>
      <c r="G6" s="3"/>
      <c r="H6" s="3"/>
      <c r="I6" s="3"/>
      <c r="J6" s="3"/>
      <c r="K6" s="3"/>
      <c r="L6" s="3"/>
      <c r="M6" s="3"/>
    </row>
    <row r="7" spans="1:13" s="100" customFormat="1" ht="15.5">
      <c r="A7" s="239" t="str">
        <f>A156</f>
        <v xml:space="preserve">feed grade - copper </v>
      </c>
      <c r="B7" s="239" t="str">
        <f t="shared" ref="B7:C7" si="1">B156</f>
        <v>% Cu</v>
      </c>
      <c r="C7" s="323">
        <f t="shared" si="1"/>
        <v>9.1932203389830519E-3</v>
      </c>
      <c r="D7" s="85"/>
      <c r="E7" s="85"/>
      <c r="F7" s="85"/>
      <c r="G7" s="85"/>
      <c r="H7" s="85"/>
      <c r="I7" s="85"/>
      <c r="J7" s="85"/>
      <c r="K7" s="85"/>
      <c r="L7" s="85"/>
      <c r="M7" s="85"/>
    </row>
    <row r="8" spans="1:13" s="100" customFormat="1" ht="15.5">
      <c r="A8" s="117" t="str">
        <f>A162</f>
        <v>Recovery - copper</v>
      </c>
      <c r="B8" s="117" t="str">
        <f t="shared" ref="B8:C8" si="2">B162</f>
        <v>% Cu</v>
      </c>
      <c r="C8" s="229">
        <f t="shared" si="2"/>
        <v>0.88000000000000034</v>
      </c>
      <c r="D8" s="85"/>
      <c r="E8" s="85"/>
      <c r="F8" s="85"/>
      <c r="G8" s="85"/>
      <c r="H8" s="85"/>
      <c r="I8" s="85"/>
      <c r="J8" s="85"/>
      <c r="K8" s="85"/>
      <c r="L8" s="85"/>
      <c r="M8" s="85"/>
    </row>
    <row r="9" spans="1:13" s="100" customFormat="1" ht="15.5">
      <c r="A9" s="117" t="str">
        <f>A170</f>
        <v>copper conc - contained copper - High Case</v>
      </c>
      <c r="B9" s="117" t="str">
        <f t="shared" ref="B9:C9" si="3">B170</f>
        <v>000 tonnes Cu</v>
      </c>
      <c r="C9" s="125">
        <f t="shared" si="3"/>
        <v>954.6239999999998</v>
      </c>
      <c r="D9" s="85"/>
      <c r="E9" s="85"/>
      <c r="F9" s="85"/>
      <c r="G9" s="85"/>
      <c r="H9" s="85"/>
      <c r="I9" s="85"/>
      <c r="J9" s="85"/>
      <c r="K9" s="85"/>
      <c r="L9" s="85"/>
      <c r="M9" s="85"/>
    </row>
    <row r="10" spans="1:13" s="100" customFormat="1" ht="15.5">
      <c r="A10" s="1" t="s">
        <v>537</v>
      </c>
      <c r="B10" s="117"/>
      <c r="C10" s="40"/>
      <c r="D10" s="85"/>
      <c r="E10" s="85"/>
      <c r="F10" s="85"/>
      <c r="G10" s="85"/>
      <c r="H10" s="85"/>
      <c r="I10" s="85"/>
      <c r="J10" s="85"/>
      <c r="K10" s="85"/>
      <c r="L10" s="85"/>
      <c r="M10" s="85"/>
    </row>
    <row r="11" spans="1:13" s="8" customFormat="1" ht="15.5">
      <c r="A11" s="117" t="str">
        <f>A346</f>
        <v>Initial capex - High Case</v>
      </c>
      <c r="B11" s="13" t="str">
        <f t="shared" ref="B11:C11" si="4">B346</f>
        <v>A$ million Real</v>
      </c>
      <c r="C11" s="40">
        <f t="shared" si="4"/>
        <v>828</v>
      </c>
      <c r="D11" s="3"/>
      <c r="E11" s="3"/>
      <c r="F11" s="3"/>
      <c r="G11" s="3"/>
      <c r="H11" s="3"/>
      <c r="I11" s="3"/>
      <c r="J11" s="3"/>
      <c r="K11" s="3"/>
      <c r="L11" s="3"/>
      <c r="M11" s="3"/>
    </row>
    <row r="12" spans="1:13" s="100" customFormat="1" ht="15.5">
      <c r="A12" s="117" t="str">
        <f>A655</f>
        <v>Opex plus Royalty less Credits - High Case</v>
      </c>
      <c r="B12" s="117" t="str">
        <f t="shared" ref="B12:C12" si="5">B655</f>
        <v>US$/lb copper</v>
      </c>
      <c r="C12" s="240">
        <f t="shared" si="5"/>
        <v>2.345210211143876</v>
      </c>
      <c r="D12" s="85"/>
      <c r="E12" s="85"/>
      <c r="F12" s="85"/>
      <c r="G12" s="85"/>
      <c r="H12" s="85"/>
      <c r="I12" s="85"/>
      <c r="J12" s="85"/>
      <c r="K12" s="85"/>
      <c r="L12" s="85"/>
      <c r="M12" s="85"/>
    </row>
    <row r="13" spans="1:13" s="100" customFormat="1" ht="15.5">
      <c r="A13" s="1" t="s">
        <v>538</v>
      </c>
      <c r="B13" s="117"/>
      <c r="C13" s="40"/>
      <c r="D13" s="85"/>
      <c r="E13" s="85"/>
      <c r="F13" s="85"/>
      <c r="G13" s="85"/>
      <c r="H13" s="85"/>
      <c r="I13" s="85"/>
      <c r="J13" s="85"/>
      <c r="K13" s="85"/>
      <c r="L13" s="85"/>
      <c r="M13" s="85"/>
    </row>
    <row r="14" spans="1:13" s="32" customFormat="1">
      <c r="A14" s="230" t="str">
        <f>A744</f>
        <v>Cashstream 1: Revenue - High Case</v>
      </c>
      <c r="B14" s="231" t="str">
        <f t="shared" ref="B14:C14" si="6">B744</f>
        <v>US$ millions Real</v>
      </c>
      <c r="C14" s="40">
        <f t="shared" si="6"/>
        <v>12493.442456956995</v>
      </c>
      <c r="D14" s="30"/>
      <c r="E14" s="30"/>
      <c r="F14" s="30"/>
      <c r="G14" s="30"/>
      <c r="H14" s="30"/>
      <c r="I14" s="30"/>
      <c r="J14" s="30"/>
      <c r="K14" s="30"/>
      <c r="L14" s="30"/>
      <c r="M14" s="30"/>
    </row>
    <row r="15" spans="1:13" s="32" customFormat="1">
      <c r="A15" s="230" t="str">
        <f t="shared" ref="A15:C18" si="7">A745</f>
        <v>Cashstream 2: Capital Costs - High Case</v>
      </c>
      <c r="B15" s="231" t="str">
        <f t="shared" si="7"/>
        <v>US$ millions Real</v>
      </c>
      <c r="C15" s="40">
        <f t="shared" si="7"/>
        <v>1134.54</v>
      </c>
      <c r="D15" s="30"/>
      <c r="E15" s="30"/>
      <c r="F15" s="30"/>
      <c r="G15" s="30"/>
      <c r="H15" s="30"/>
      <c r="I15" s="30"/>
      <c r="J15" s="30"/>
      <c r="K15" s="30"/>
      <c r="L15" s="30"/>
      <c r="M15" s="30"/>
    </row>
    <row r="16" spans="1:13" s="32" customFormat="1">
      <c r="A16" s="230" t="str">
        <f t="shared" si="7"/>
        <v>Cashstream 3: Operating Costs - High Case</v>
      </c>
      <c r="B16" s="231" t="str">
        <f t="shared" si="7"/>
        <v>US$ millions Real</v>
      </c>
      <c r="C16" s="40">
        <f t="shared" si="7"/>
        <v>6571.9144284554895</v>
      </c>
      <c r="D16" s="30"/>
      <c r="E16" s="30"/>
      <c r="F16" s="30"/>
      <c r="G16" s="30"/>
      <c r="H16" s="30"/>
      <c r="I16" s="30"/>
      <c r="J16" s="30"/>
      <c r="K16" s="30"/>
      <c r="L16" s="30"/>
      <c r="M16" s="30"/>
    </row>
    <row r="17" spans="1:30" s="32" customFormat="1">
      <c r="A17" s="230" t="str">
        <f t="shared" si="7"/>
        <v>Cashstream 4: Taxes - High Case</v>
      </c>
      <c r="B17" s="231" t="str">
        <f t="shared" si="7"/>
        <v>US$ millions Real</v>
      </c>
      <c r="C17" s="40">
        <f t="shared" si="7"/>
        <v>2022.4926040077592</v>
      </c>
      <c r="D17" s="30"/>
      <c r="E17" s="30"/>
      <c r="F17" s="30"/>
      <c r="G17" s="30"/>
      <c r="H17" s="30"/>
      <c r="I17" s="30"/>
      <c r="J17" s="30"/>
      <c r="K17" s="30"/>
      <c r="L17" s="30"/>
      <c r="M17" s="30"/>
    </row>
    <row r="18" spans="1:30" s="32" customFormat="1">
      <c r="A18" s="241" t="str">
        <f t="shared" si="7"/>
        <v>Cash Generation - High Case</v>
      </c>
      <c r="B18" s="231" t="str">
        <f t="shared" si="7"/>
        <v>US$ millions Real</v>
      </c>
      <c r="C18" s="138">
        <f t="shared" si="7"/>
        <v>2764.4954244937462</v>
      </c>
      <c r="D18" s="30"/>
      <c r="E18" s="30"/>
      <c r="F18" s="30"/>
      <c r="G18" s="30"/>
      <c r="H18" s="30"/>
      <c r="I18" s="30"/>
      <c r="J18" s="30"/>
      <c r="K18" s="30"/>
      <c r="L18" s="30"/>
      <c r="M18" s="30"/>
    </row>
    <row r="19" spans="1:30" s="100" customFormat="1" ht="15.5">
      <c r="A19" s="1" t="s">
        <v>540</v>
      </c>
      <c r="B19" s="113"/>
      <c r="C19" s="232"/>
      <c r="D19" s="85"/>
      <c r="E19" s="85"/>
      <c r="F19" s="85"/>
      <c r="G19" s="85"/>
      <c r="H19" s="85"/>
      <c r="I19" s="85"/>
      <c r="J19" s="85"/>
      <c r="K19" s="85"/>
      <c r="L19" s="85"/>
      <c r="M19" s="85"/>
    </row>
    <row r="20" spans="1:30" s="236" customFormat="1" ht="15.5">
      <c r="A20" s="124" t="str">
        <f>A759</f>
        <v>NPV - High Case</v>
      </c>
      <c r="B20" s="231" t="str">
        <f>B759</f>
        <v>US$ million</v>
      </c>
      <c r="C20" s="232">
        <f>C759</f>
        <v>1173.567255923926</v>
      </c>
      <c r="D20" s="235"/>
      <c r="E20" s="235"/>
      <c r="F20" s="235"/>
      <c r="G20" s="235"/>
      <c r="H20" s="235"/>
      <c r="I20" s="235"/>
      <c r="J20" s="235"/>
      <c r="K20" s="235"/>
      <c r="L20" s="235"/>
      <c r="M20" s="235"/>
    </row>
    <row r="21" spans="1:30" s="100" customFormat="1" ht="15.5">
      <c r="A21" s="163" t="str">
        <f>A752</f>
        <v>IRR - High Case</v>
      </c>
      <c r="B21" s="231" t="str">
        <f>B752</f>
        <v>% Real</v>
      </c>
      <c r="C21" s="238">
        <f>C752</f>
        <v>0.29999477374974504</v>
      </c>
      <c r="D21" s="85"/>
      <c r="E21" s="85"/>
      <c r="F21" s="85"/>
      <c r="G21" s="85"/>
      <c r="H21" s="85"/>
      <c r="I21" s="85"/>
      <c r="J21" s="85"/>
      <c r="K21" s="85"/>
      <c r="L21" s="85"/>
      <c r="M21" s="85"/>
    </row>
    <row r="22" spans="1:30" s="236" customFormat="1" ht="15.5">
      <c r="A22" s="233"/>
      <c r="B22" s="237"/>
      <c r="C22" s="234"/>
      <c r="D22" s="235"/>
      <c r="E22" s="235"/>
      <c r="F22" s="85"/>
      <c r="G22" s="235"/>
      <c r="H22" s="235"/>
      <c r="I22" s="235"/>
      <c r="J22" s="235"/>
      <c r="K22" s="235"/>
      <c r="L22" s="235"/>
      <c r="M22" s="235"/>
    </row>
    <row r="23" spans="1:30" s="100" customFormat="1" ht="32.5" customHeight="1">
      <c r="A23" s="21" t="s">
        <v>539</v>
      </c>
      <c r="C23" s="6"/>
      <c r="D23" s="85"/>
      <c r="E23" s="85"/>
      <c r="G23" s="85"/>
      <c r="H23" s="85"/>
      <c r="I23" s="85"/>
      <c r="J23" s="85"/>
      <c r="K23" s="85"/>
      <c r="L23" s="85"/>
      <c r="M23" s="85"/>
    </row>
    <row r="24" spans="1:30" s="32" customFormat="1">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row>
    <row r="25" spans="1:30" s="35" customFormat="1">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row>
    <row r="26" spans="1:30" s="35" customFormat="1">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row>
    <row r="27" spans="1:30" s="35" customFormat="1" ht="15.5">
      <c r="A27" s="127"/>
      <c r="B27" s="85"/>
      <c r="C27" s="132"/>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row>
    <row r="28" spans="1:30" s="35" customFormat="1" ht="15.5">
      <c r="A28" s="127"/>
      <c r="B28" s="85"/>
      <c r="C28" s="132"/>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row>
    <row r="29" spans="1:30">
      <c r="A29" s="36"/>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row>
    <row r="30" spans="1:30" ht="17.25" customHeight="1">
      <c r="A30" s="14"/>
      <c r="C30" s="37"/>
    </row>
    <row r="31" spans="1:30" ht="17.25" customHeight="1">
      <c r="A31" s="14"/>
      <c r="C31" s="37"/>
    </row>
    <row r="32" spans="1:30" ht="17.25" customHeight="1">
      <c r="A32" s="14"/>
      <c r="C32" s="37"/>
    </row>
    <row r="33" spans="1:3" ht="17.25" customHeight="1">
      <c r="A33" s="14"/>
      <c r="C33" s="37"/>
    </row>
    <row r="34" spans="1:3" ht="17.25" customHeight="1">
      <c r="A34" s="14"/>
      <c r="C34" s="37"/>
    </row>
    <row r="35" spans="1:3" ht="17.25" customHeight="1">
      <c r="A35" s="14"/>
      <c r="C35" s="37"/>
    </row>
    <row r="36" spans="1:3" ht="17.25" customHeight="1">
      <c r="A36" s="14"/>
      <c r="C36" s="37"/>
    </row>
    <row r="37" spans="1:3" ht="17.25" customHeight="1">
      <c r="A37" s="14"/>
      <c r="C37" s="37"/>
    </row>
    <row r="38" spans="1:3" ht="17.25" customHeight="1">
      <c r="A38" s="14"/>
      <c r="C38" s="37"/>
    </row>
    <row r="39" spans="1:3" ht="17.25" customHeight="1">
      <c r="A39" s="14"/>
      <c r="C39" s="37"/>
    </row>
    <row r="40" spans="1:3" ht="17.25" customHeight="1">
      <c r="A40" s="14"/>
      <c r="C40" s="37"/>
    </row>
    <row r="41" spans="1:3" ht="17.25" customHeight="1">
      <c r="A41" s="14"/>
      <c r="C41" s="37"/>
    </row>
    <row r="42" spans="1:3" ht="17.25" customHeight="1">
      <c r="A42" s="14"/>
      <c r="C42" s="37"/>
    </row>
    <row r="43" spans="1:3" ht="17.25" customHeight="1">
      <c r="A43" s="14"/>
      <c r="C43" s="37"/>
    </row>
    <row r="44" spans="1:3" ht="17.25" customHeight="1">
      <c r="A44" s="14"/>
      <c r="C44" s="37"/>
    </row>
    <row r="45" spans="1:3" ht="17.25" customHeight="1">
      <c r="A45" s="14"/>
      <c r="C45" s="37"/>
    </row>
    <row r="46" spans="1:3" ht="17.25" customHeight="1">
      <c r="A46" s="14"/>
      <c r="C46" s="37"/>
    </row>
    <row r="47" spans="1:3" ht="17.25" customHeight="1">
      <c r="A47" s="14"/>
      <c r="C47" s="37"/>
    </row>
    <row r="48" spans="1:3" ht="17.25" customHeight="1">
      <c r="A48" s="14"/>
      <c r="C48" s="37"/>
    </row>
    <row r="49" spans="1:30" s="35" customFormat="1" ht="15.5">
      <c r="A49" s="127"/>
      <c r="B49" s="85"/>
      <c r="C49" s="132"/>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row>
    <row r="50" spans="1:30" s="35" customFormat="1" ht="15.5">
      <c r="A50" s="127"/>
      <c r="B50" s="85"/>
      <c r="C50" s="132"/>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row>
    <row r="51" spans="1:30" s="35" customFormat="1" ht="15.5">
      <c r="A51" s="127"/>
      <c r="B51" s="85"/>
      <c r="C51" s="132"/>
      <c r="D51" s="34"/>
      <c r="E51" s="34"/>
      <c r="F51" s="34"/>
      <c r="G51" s="34"/>
      <c r="H51" s="34"/>
      <c r="I51" s="34"/>
      <c r="J51" s="34"/>
      <c r="K51" s="34"/>
      <c r="L51" s="34"/>
      <c r="M51" s="34"/>
      <c r="N51" s="34"/>
      <c r="O51" s="34"/>
      <c r="P51" s="34"/>
      <c r="Q51" s="34"/>
      <c r="R51" s="34"/>
      <c r="S51" s="34"/>
      <c r="T51" s="34"/>
      <c r="U51" s="34"/>
      <c r="V51" s="34"/>
      <c r="W51" s="34"/>
      <c r="X51" s="34"/>
      <c r="Y51" s="34"/>
      <c r="Z51" s="34"/>
      <c r="AA51" s="34"/>
      <c r="AB51" s="34"/>
      <c r="AC51" s="34"/>
      <c r="AD51" s="34"/>
    </row>
    <row r="52" spans="1:30" s="35" customFormat="1" ht="15.5">
      <c r="A52" s="127"/>
      <c r="B52" s="85"/>
      <c r="C52" s="132"/>
      <c r="D52" s="34"/>
      <c r="E52" s="34"/>
      <c r="F52" s="34"/>
      <c r="G52" s="34"/>
      <c r="H52" s="34"/>
      <c r="I52" s="34"/>
      <c r="J52" s="34"/>
      <c r="K52" s="34"/>
      <c r="L52" s="34"/>
      <c r="M52" s="34"/>
      <c r="N52" s="34"/>
      <c r="O52" s="34"/>
      <c r="P52" s="34"/>
      <c r="Q52" s="34"/>
      <c r="R52" s="34"/>
      <c r="S52" s="34"/>
      <c r="T52" s="34"/>
      <c r="U52" s="34"/>
      <c r="V52" s="34"/>
      <c r="W52" s="34"/>
      <c r="X52" s="34"/>
      <c r="Y52" s="34"/>
      <c r="Z52" s="34"/>
      <c r="AA52" s="34"/>
      <c r="AB52" s="34"/>
      <c r="AC52" s="34"/>
      <c r="AD52" s="34"/>
    </row>
    <row r="53" spans="1:30" ht="17.25" customHeight="1">
      <c r="A53" s="14"/>
      <c r="C53" s="37"/>
    </row>
    <row r="54" spans="1:30" ht="17.25" customHeight="1">
      <c r="A54" s="14"/>
      <c r="C54" s="37"/>
    </row>
    <row r="55" spans="1:30" ht="17.25" customHeight="1">
      <c r="A55" s="14"/>
      <c r="C55" s="37"/>
    </row>
    <row r="56" spans="1:30" ht="17.25" customHeight="1">
      <c r="A56" s="14"/>
      <c r="C56" s="37"/>
    </row>
    <row r="57" spans="1:30" ht="17.25" customHeight="1">
      <c r="A57" s="14"/>
      <c r="C57" s="37"/>
    </row>
    <row r="58" spans="1:30" ht="17.25" customHeight="1">
      <c r="A58" s="14"/>
      <c r="C58" s="37"/>
    </row>
    <row r="59" spans="1:30" ht="17.25" customHeight="1">
      <c r="A59" s="14"/>
      <c r="C59" s="37"/>
    </row>
    <row r="60" spans="1:30" ht="17.25" customHeight="1">
      <c r="A60" s="14"/>
      <c r="C60" s="37"/>
    </row>
    <row r="61" spans="1:30" ht="17.25" customHeight="1">
      <c r="A61" s="14"/>
      <c r="C61" s="37"/>
      <c r="G61" s="39"/>
    </row>
    <row r="62" spans="1:30" ht="17.25" customHeight="1">
      <c r="A62" s="14"/>
      <c r="C62" s="37"/>
    </row>
    <row r="63" spans="1:30" ht="17.25" customHeight="1">
      <c r="A63" s="14"/>
      <c r="C63" s="37"/>
    </row>
    <row r="64" spans="1:30" ht="17.25" customHeight="1">
      <c r="A64" s="14"/>
      <c r="C64" s="37"/>
    </row>
    <row r="65" spans="1:3" ht="17.25" customHeight="1">
      <c r="A65" s="14"/>
      <c r="C65" s="37"/>
    </row>
    <row r="66" spans="1:3" ht="17.25" customHeight="1">
      <c r="A66" s="14"/>
      <c r="C66" s="37"/>
    </row>
    <row r="67" spans="1:3" ht="17.25" customHeight="1">
      <c r="A67" s="14"/>
      <c r="C67" s="37"/>
    </row>
    <row r="68" spans="1:3" ht="17.25" customHeight="1">
      <c r="A68" s="14"/>
      <c r="C68" s="37"/>
    </row>
    <row r="69" spans="1:3" ht="17.25" customHeight="1">
      <c r="A69" s="14"/>
      <c r="C69" s="37"/>
    </row>
    <row r="70" spans="1:3" ht="17.25" customHeight="1">
      <c r="A70" s="14"/>
      <c r="C70" s="37"/>
    </row>
    <row r="71" spans="1:3" ht="17.25" customHeight="1">
      <c r="A71" s="14"/>
      <c r="C71" s="37"/>
    </row>
    <row r="72" spans="1:3" ht="17.25" customHeight="1">
      <c r="A72" s="14"/>
      <c r="C72" s="37"/>
    </row>
    <row r="73" spans="1:3" ht="17.25" customHeight="1">
      <c r="A73" s="14"/>
      <c r="C73" s="37"/>
    </row>
    <row r="74" spans="1:3" ht="17.25" customHeight="1">
      <c r="A74" s="14"/>
      <c r="C74" s="37"/>
    </row>
    <row r="75" spans="1:3" ht="17.25" customHeight="1">
      <c r="A75" s="14"/>
      <c r="C75" s="37"/>
    </row>
    <row r="76" spans="1:3" ht="17.25" customHeight="1">
      <c r="A76" s="14"/>
      <c r="C76" s="37"/>
    </row>
    <row r="77" spans="1:3" ht="17.25" customHeight="1">
      <c r="A77" s="14"/>
      <c r="C77" s="37"/>
    </row>
    <row r="78" spans="1:3" ht="17.25" customHeight="1">
      <c r="A78" s="14"/>
      <c r="C78" s="37"/>
    </row>
    <row r="79" spans="1:3" ht="17.25" customHeight="1">
      <c r="A79" s="14"/>
      <c r="C79" s="37"/>
    </row>
    <row r="80" spans="1:3" ht="17.25" customHeight="1">
      <c r="A80" s="14"/>
      <c r="C80" s="37"/>
    </row>
    <row r="81" spans="1:30" ht="17.25" customHeight="1">
      <c r="A81" s="14"/>
      <c r="C81" s="37"/>
    </row>
    <row r="82" spans="1:30" ht="17.25" customHeight="1">
      <c r="A82" s="14"/>
      <c r="C82" s="37"/>
    </row>
    <row r="83" spans="1:30" ht="17.25" customHeight="1">
      <c r="A83" s="14"/>
      <c r="C83" s="37"/>
    </row>
    <row r="84" spans="1:30" ht="17.25" customHeight="1">
      <c r="A84" s="14"/>
      <c r="C84" s="37"/>
    </row>
    <row r="85" spans="1:30" ht="17.25" customHeight="1">
      <c r="A85" s="14"/>
      <c r="C85" s="37"/>
    </row>
    <row r="86" spans="1:30" ht="17.25" customHeight="1">
      <c r="A86" s="14"/>
      <c r="C86" s="37"/>
    </row>
    <row r="87" spans="1:30" ht="17.25" customHeight="1">
      <c r="A87" s="14"/>
      <c r="C87" s="37"/>
    </row>
    <row r="88" spans="1:30" ht="17.25" customHeight="1">
      <c r="A88" s="14"/>
      <c r="C88" s="37"/>
    </row>
    <row r="89" spans="1:30" ht="17.25" customHeight="1">
      <c r="A89" s="14"/>
      <c r="C89" s="37"/>
    </row>
    <row r="90" spans="1:30" ht="17.25" customHeight="1">
      <c r="A90" s="14"/>
      <c r="C90" s="37"/>
    </row>
    <row r="91" spans="1:30" ht="17.25" customHeight="1">
      <c r="A91" s="14"/>
      <c r="C91" s="37"/>
    </row>
    <row r="92" spans="1:30" ht="17.25" customHeight="1">
      <c r="A92" s="14"/>
      <c r="C92" s="37"/>
    </row>
    <row r="93" spans="1:30" ht="17.25" customHeight="1">
      <c r="A93" s="14"/>
      <c r="C93" s="37"/>
    </row>
    <row r="94" spans="1:30" s="5" customFormat="1" ht="18.5">
      <c r="A94" s="319" t="str">
        <f>'Expected NPV &amp; Common Data'!A$36</f>
        <v>Calendar Year --&gt;</v>
      </c>
      <c r="B94" s="243" t="str">
        <f>'Expected NPV &amp; Common Data'!B$36</f>
        <v>units</v>
      </c>
      <c r="C94" s="320" t="str">
        <f>'Expected NPV &amp; Common Data'!C$36</f>
        <v>Total</v>
      </c>
      <c r="D94" s="321">
        <f>'Expected NPV &amp; Common Data'!D$36</f>
        <v>2027</v>
      </c>
      <c r="E94" s="321">
        <f>'Expected NPV &amp; Common Data'!E$36</f>
        <v>2028</v>
      </c>
      <c r="F94" s="321">
        <f>'Expected NPV &amp; Common Data'!F$36</f>
        <v>2029</v>
      </c>
      <c r="G94" s="321">
        <f>'Expected NPV &amp; Common Data'!G$36</f>
        <v>2030</v>
      </c>
      <c r="H94" s="321">
        <f>'Expected NPV &amp; Common Data'!H$36</f>
        <v>2031</v>
      </c>
      <c r="I94" s="321">
        <f>'Expected NPV &amp; Common Data'!I$36</f>
        <v>2032</v>
      </c>
      <c r="J94" s="321">
        <f>'Expected NPV &amp; Common Data'!J$36</f>
        <v>2033</v>
      </c>
      <c r="K94" s="321">
        <f>'Expected NPV &amp; Common Data'!K$36</f>
        <v>2034</v>
      </c>
      <c r="L94" s="321">
        <f>'Expected NPV &amp; Common Data'!L$36</f>
        <v>2035</v>
      </c>
      <c r="M94" s="321">
        <f>'Expected NPV &amp; Common Data'!M$36</f>
        <v>2036</v>
      </c>
      <c r="N94" s="321">
        <f>'Expected NPV &amp; Common Data'!N$36</f>
        <v>2037</v>
      </c>
      <c r="O94" s="321">
        <f>'Expected NPV &amp; Common Data'!O$36</f>
        <v>2038</v>
      </c>
      <c r="P94" s="321">
        <f>'Expected NPV &amp; Common Data'!P$36</f>
        <v>2039</v>
      </c>
      <c r="Q94" s="321">
        <f>'Expected NPV &amp; Common Data'!Q$36</f>
        <v>2040</v>
      </c>
      <c r="R94" s="321">
        <f>'Expected NPV &amp; Common Data'!R$36</f>
        <v>2041</v>
      </c>
      <c r="S94" s="321">
        <f>'Expected NPV &amp; Common Data'!S$36</f>
        <v>2042</v>
      </c>
      <c r="T94" s="321">
        <f>'Expected NPV &amp; Common Data'!T$36</f>
        <v>2043</v>
      </c>
      <c r="U94" s="321">
        <f>'Expected NPV &amp; Common Data'!U$36</f>
        <v>2044</v>
      </c>
      <c r="V94" s="321">
        <f>'Expected NPV &amp; Common Data'!V$36</f>
        <v>2045</v>
      </c>
      <c r="W94" s="321">
        <f>'Expected NPV &amp; Common Data'!W$36</f>
        <v>2046</v>
      </c>
      <c r="X94" s="321">
        <f>'Expected NPV &amp; Common Data'!X$36</f>
        <v>2047</v>
      </c>
      <c r="Y94" s="321">
        <f>'Expected NPV &amp; Common Data'!Y$36</f>
        <v>2048</v>
      </c>
      <c r="Z94" s="321">
        <f>'Expected NPV &amp; Common Data'!Z$36</f>
        <v>2049</v>
      </c>
      <c r="AA94" s="321">
        <f>'Expected NPV &amp; Common Data'!AA$36</f>
        <v>2050</v>
      </c>
      <c r="AB94" s="321">
        <f>'Expected NPV &amp; Common Data'!AB$36</f>
        <v>2051</v>
      </c>
      <c r="AC94" s="321">
        <f>'Expected NPV &amp; Common Data'!AC$36</f>
        <v>2052</v>
      </c>
      <c r="AD94" s="321">
        <f>'Expected NPV &amp; Common Data'!AD$36</f>
        <v>2053</v>
      </c>
    </row>
    <row r="95" spans="1:30" s="8" customFormat="1" ht="15.5">
      <c r="A95" s="246" t="str">
        <f>'Expected NPV &amp; Common Data'!A37</f>
        <v>Production Year from Start up</v>
      </c>
      <c r="B95" s="245"/>
      <c r="C95" s="245"/>
      <c r="D95" s="245">
        <f>'Expected NPV &amp; Common Data'!D37</f>
        <v>0</v>
      </c>
      <c r="E95" s="245">
        <f>'Expected NPV &amp; Common Data'!E37</f>
        <v>0</v>
      </c>
      <c r="F95" s="245">
        <f>'Expected NPV &amp; Common Data'!F37</f>
        <v>1</v>
      </c>
      <c r="G95" s="245">
        <f>'Expected NPV &amp; Common Data'!G37</f>
        <v>2</v>
      </c>
      <c r="H95" s="245">
        <f>'Expected NPV &amp; Common Data'!H37</f>
        <v>3</v>
      </c>
      <c r="I95" s="245">
        <f>'Expected NPV &amp; Common Data'!I37</f>
        <v>4</v>
      </c>
      <c r="J95" s="245">
        <f>'Expected NPV &amp; Common Data'!J37</f>
        <v>5</v>
      </c>
      <c r="K95" s="245">
        <f>'Expected NPV &amp; Common Data'!K37</f>
        <v>6</v>
      </c>
      <c r="L95" s="245">
        <f>'Expected NPV &amp; Common Data'!L37</f>
        <v>7</v>
      </c>
      <c r="M95" s="245">
        <f>'Expected NPV &amp; Common Data'!M37</f>
        <v>8</v>
      </c>
      <c r="N95" s="245">
        <f>'Expected NPV &amp; Common Data'!N37</f>
        <v>9</v>
      </c>
      <c r="O95" s="245">
        <f>'Expected NPV &amp; Common Data'!O37</f>
        <v>10</v>
      </c>
      <c r="P95" s="245">
        <f>'Expected NPV &amp; Common Data'!P37</f>
        <v>11</v>
      </c>
      <c r="Q95" s="245">
        <f>'Expected NPV &amp; Common Data'!Q37</f>
        <v>12</v>
      </c>
      <c r="R95" s="245">
        <f>'Expected NPV &amp; Common Data'!R37</f>
        <v>13</v>
      </c>
      <c r="S95" s="245">
        <f>'Expected NPV &amp; Common Data'!S37</f>
        <v>14</v>
      </c>
      <c r="T95" s="245">
        <f>'Expected NPV &amp; Common Data'!T37</f>
        <v>15</v>
      </c>
      <c r="U95" s="245">
        <f>'Expected NPV &amp; Common Data'!U37</f>
        <v>16</v>
      </c>
      <c r="V95" s="245">
        <f>'Expected NPV &amp; Common Data'!V37</f>
        <v>17</v>
      </c>
      <c r="W95" s="245">
        <f>'Expected NPV &amp; Common Data'!W37</f>
        <v>18</v>
      </c>
      <c r="X95" s="245">
        <f>'Expected NPV &amp; Common Data'!X37</f>
        <v>19</v>
      </c>
      <c r="Y95" s="245">
        <f>'Expected NPV &amp; Common Data'!Y37</f>
        <v>20</v>
      </c>
      <c r="Z95" s="245">
        <f>'Expected NPV &amp; Common Data'!Z37</f>
        <v>21</v>
      </c>
      <c r="AA95" s="245">
        <f>'Expected NPV &amp; Common Data'!AA37</f>
        <v>22</v>
      </c>
      <c r="AB95" s="245">
        <f>'Expected NPV &amp; Common Data'!AB37</f>
        <v>23</v>
      </c>
      <c r="AC95" s="245">
        <f>'Expected NPV &amp; Common Data'!AC37</f>
        <v>24</v>
      </c>
      <c r="AD95" s="245">
        <f>'Expected NPV &amp; Common Data'!AD37</f>
        <v>25</v>
      </c>
    </row>
    <row r="96" spans="1:30" s="32" customFormat="1" ht="53.25" customHeight="1">
      <c r="A96" s="22" t="s">
        <v>429</v>
      </c>
      <c r="C96" s="33"/>
      <c r="I96" s="33"/>
      <c r="J96" s="33"/>
      <c r="K96" s="33"/>
      <c r="L96" s="33"/>
      <c r="M96" s="33"/>
      <c r="N96" s="33"/>
      <c r="O96" s="33"/>
      <c r="P96" s="33"/>
      <c r="Q96" s="33"/>
      <c r="R96" s="33"/>
      <c r="S96" s="33"/>
      <c r="T96" s="33"/>
      <c r="U96" s="33"/>
      <c r="V96" s="33"/>
      <c r="W96" s="33"/>
      <c r="X96" s="33"/>
      <c r="Y96" s="33"/>
      <c r="Z96" s="33"/>
      <c r="AA96" s="33"/>
      <c r="AB96" s="33"/>
      <c r="AC96" s="33"/>
      <c r="AD96" s="33"/>
    </row>
    <row r="97" spans="1:30" customFormat="1" ht="18.5">
      <c r="A97" s="17" t="s">
        <v>123</v>
      </c>
      <c r="C97" s="3"/>
      <c r="D97" s="2"/>
      <c r="E97" s="2"/>
      <c r="F97" s="2"/>
      <c r="G97" s="2"/>
      <c r="H97" s="2"/>
      <c r="I97" s="2"/>
      <c r="J97" s="2"/>
      <c r="K97" s="2"/>
      <c r="L97" s="2"/>
      <c r="M97" s="2"/>
      <c r="N97" s="2"/>
      <c r="O97" s="2"/>
      <c r="P97" s="2"/>
      <c r="Q97" s="2"/>
      <c r="R97" s="2"/>
      <c r="S97" s="2"/>
      <c r="T97" s="2"/>
      <c r="U97" s="2"/>
      <c r="V97" s="2"/>
      <c r="W97" s="2"/>
      <c r="X97" s="2"/>
      <c r="Y97" s="2"/>
      <c r="Z97" s="2"/>
      <c r="AA97" s="2"/>
      <c r="AB97" s="2"/>
      <c r="AC97" s="2"/>
      <c r="AD97" s="2"/>
    </row>
    <row r="98" spans="1:30">
      <c r="A98" s="214" t="s">
        <v>615</v>
      </c>
      <c r="B98" s="322" t="s">
        <v>274</v>
      </c>
      <c r="C98" s="288"/>
      <c r="D98" s="324">
        <v>0.9</v>
      </c>
      <c r="E98" s="288">
        <f>D98</f>
        <v>0.9</v>
      </c>
      <c r="F98" s="288">
        <f t="shared" ref="F98:AD98" si="8">E98</f>
        <v>0.9</v>
      </c>
      <c r="G98" s="288">
        <f t="shared" si="8"/>
        <v>0.9</v>
      </c>
      <c r="H98" s="288">
        <f t="shared" si="8"/>
        <v>0.9</v>
      </c>
      <c r="I98" s="288">
        <f t="shared" si="8"/>
        <v>0.9</v>
      </c>
      <c r="J98" s="288">
        <f t="shared" si="8"/>
        <v>0.9</v>
      </c>
      <c r="K98" s="288">
        <f t="shared" si="8"/>
        <v>0.9</v>
      </c>
      <c r="L98" s="288">
        <f t="shared" si="8"/>
        <v>0.9</v>
      </c>
      <c r="M98" s="288">
        <f t="shared" si="8"/>
        <v>0.9</v>
      </c>
      <c r="N98" s="288">
        <f t="shared" si="8"/>
        <v>0.9</v>
      </c>
      <c r="O98" s="288">
        <f t="shared" si="8"/>
        <v>0.9</v>
      </c>
      <c r="P98" s="288">
        <f t="shared" si="8"/>
        <v>0.9</v>
      </c>
      <c r="Q98" s="288">
        <f t="shared" si="8"/>
        <v>0.9</v>
      </c>
      <c r="R98" s="288">
        <f t="shared" si="8"/>
        <v>0.9</v>
      </c>
      <c r="S98" s="288">
        <f t="shared" si="8"/>
        <v>0.9</v>
      </c>
      <c r="T98" s="288">
        <f t="shared" si="8"/>
        <v>0.9</v>
      </c>
      <c r="U98" s="288">
        <f t="shared" si="8"/>
        <v>0.9</v>
      </c>
      <c r="V98" s="288">
        <f t="shared" si="8"/>
        <v>0.9</v>
      </c>
      <c r="W98" s="288">
        <f t="shared" si="8"/>
        <v>0.9</v>
      </c>
      <c r="X98" s="288">
        <f t="shared" si="8"/>
        <v>0.9</v>
      </c>
      <c r="Y98" s="288">
        <f t="shared" si="8"/>
        <v>0.9</v>
      </c>
      <c r="Z98" s="288">
        <f t="shared" si="8"/>
        <v>0.9</v>
      </c>
      <c r="AA98" s="288">
        <f t="shared" si="8"/>
        <v>0.9</v>
      </c>
      <c r="AB98" s="288">
        <f t="shared" si="8"/>
        <v>0.9</v>
      </c>
      <c r="AC98" s="288">
        <f t="shared" si="8"/>
        <v>0.9</v>
      </c>
      <c r="AD98" s="288">
        <f t="shared" si="8"/>
        <v>0.9</v>
      </c>
    </row>
    <row r="99" spans="1:30" customFormat="1" ht="15.5">
      <c r="A99" s="97" t="s">
        <v>191</v>
      </c>
      <c r="C99" s="3"/>
      <c r="D99" s="2"/>
      <c r="E99" s="2"/>
      <c r="F99" s="2"/>
      <c r="G99" s="2"/>
      <c r="H99" s="2"/>
      <c r="I99" s="2"/>
      <c r="J99" s="2"/>
      <c r="K99" s="2"/>
      <c r="L99" s="2"/>
      <c r="M99" s="2"/>
      <c r="N99" s="2"/>
      <c r="O99" s="2"/>
      <c r="P99" s="2"/>
      <c r="Q99" s="2"/>
      <c r="R99" s="2"/>
      <c r="S99" s="2"/>
      <c r="T99" s="2"/>
      <c r="U99" s="2"/>
      <c r="V99" s="2"/>
      <c r="W99" s="2"/>
      <c r="X99" s="2"/>
      <c r="Y99" s="2"/>
      <c r="Z99" s="2"/>
      <c r="AA99" s="2"/>
      <c r="AB99" s="2"/>
      <c r="AC99" s="2"/>
      <c r="AD99" s="2"/>
    </row>
    <row r="100" spans="1:30">
      <c r="A100" s="214" t="s">
        <v>616</v>
      </c>
      <c r="B100" s="322" t="s">
        <v>47</v>
      </c>
      <c r="C100" s="288"/>
      <c r="D100" s="324">
        <v>5</v>
      </c>
      <c r="E100" s="288">
        <f>D100</f>
        <v>5</v>
      </c>
      <c r="F100" s="288">
        <f t="shared" ref="F100:AD100" si="9">E100</f>
        <v>5</v>
      </c>
      <c r="G100" s="288">
        <f t="shared" si="9"/>
        <v>5</v>
      </c>
      <c r="H100" s="288">
        <f t="shared" si="9"/>
        <v>5</v>
      </c>
      <c r="I100" s="288">
        <f t="shared" si="9"/>
        <v>5</v>
      </c>
      <c r="J100" s="288">
        <f t="shared" si="9"/>
        <v>5</v>
      </c>
      <c r="K100" s="288">
        <f t="shared" si="9"/>
        <v>5</v>
      </c>
      <c r="L100" s="288">
        <f t="shared" si="9"/>
        <v>5</v>
      </c>
      <c r="M100" s="288">
        <f t="shared" si="9"/>
        <v>5</v>
      </c>
      <c r="N100" s="288">
        <f t="shared" si="9"/>
        <v>5</v>
      </c>
      <c r="O100" s="288">
        <f t="shared" si="9"/>
        <v>5</v>
      </c>
      <c r="P100" s="288">
        <f t="shared" si="9"/>
        <v>5</v>
      </c>
      <c r="Q100" s="288">
        <f t="shared" si="9"/>
        <v>5</v>
      </c>
      <c r="R100" s="288">
        <f t="shared" si="9"/>
        <v>5</v>
      </c>
      <c r="S100" s="288">
        <f t="shared" si="9"/>
        <v>5</v>
      </c>
      <c r="T100" s="288">
        <f t="shared" si="9"/>
        <v>5</v>
      </c>
      <c r="U100" s="288">
        <f t="shared" si="9"/>
        <v>5</v>
      </c>
      <c r="V100" s="288">
        <f t="shared" si="9"/>
        <v>5</v>
      </c>
      <c r="W100" s="288">
        <f t="shared" si="9"/>
        <v>5</v>
      </c>
      <c r="X100" s="288">
        <f t="shared" si="9"/>
        <v>5</v>
      </c>
      <c r="Y100" s="288">
        <f t="shared" si="9"/>
        <v>5</v>
      </c>
      <c r="Z100" s="288">
        <f t="shared" si="9"/>
        <v>5</v>
      </c>
      <c r="AA100" s="288">
        <f t="shared" si="9"/>
        <v>5</v>
      </c>
      <c r="AB100" s="288">
        <f t="shared" si="9"/>
        <v>5</v>
      </c>
      <c r="AC100" s="288">
        <f t="shared" si="9"/>
        <v>5</v>
      </c>
      <c r="AD100" s="288">
        <f t="shared" si="9"/>
        <v>5</v>
      </c>
    </row>
    <row r="101" spans="1:30">
      <c r="A101" s="214" t="s">
        <v>617</v>
      </c>
      <c r="B101" s="322" t="s">
        <v>113</v>
      </c>
      <c r="C101" s="288"/>
      <c r="D101" s="325">
        <v>2500</v>
      </c>
      <c r="E101" s="219">
        <f>D101</f>
        <v>2500</v>
      </c>
      <c r="F101" s="219">
        <f t="shared" ref="F101:AD101" si="10">E101</f>
        <v>2500</v>
      </c>
      <c r="G101" s="219">
        <f t="shared" si="10"/>
        <v>2500</v>
      </c>
      <c r="H101" s="219">
        <f t="shared" si="10"/>
        <v>2500</v>
      </c>
      <c r="I101" s="219">
        <f t="shared" si="10"/>
        <v>2500</v>
      </c>
      <c r="J101" s="219">
        <f t="shared" si="10"/>
        <v>2500</v>
      </c>
      <c r="K101" s="219">
        <f t="shared" si="10"/>
        <v>2500</v>
      </c>
      <c r="L101" s="219">
        <f t="shared" si="10"/>
        <v>2500</v>
      </c>
      <c r="M101" s="219">
        <f t="shared" si="10"/>
        <v>2500</v>
      </c>
      <c r="N101" s="219">
        <f t="shared" si="10"/>
        <v>2500</v>
      </c>
      <c r="O101" s="219">
        <f t="shared" si="10"/>
        <v>2500</v>
      </c>
      <c r="P101" s="219">
        <f t="shared" si="10"/>
        <v>2500</v>
      </c>
      <c r="Q101" s="219">
        <f t="shared" si="10"/>
        <v>2500</v>
      </c>
      <c r="R101" s="219">
        <f t="shared" si="10"/>
        <v>2500</v>
      </c>
      <c r="S101" s="219">
        <f t="shared" si="10"/>
        <v>2500</v>
      </c>
      <c r="T101" s="219">
        <f t="shared" si="10"/>
        <v>2500</v>
      </c>
      <c r="U101" s="219">
        <f t="shared" si="10"/>
        <v>2500</v>
      </c>
      <c r="V101" s="219">
        <f t="shared" si="10"/>
        <v>2500</v>
      </c>
      <c r="W101" s="219">
        <f t="shared" si="10"/>
        <v>2500</v>
      </c>
      <c r="X101" s="219">
        <f t="shared" si="10"/>
        <v>2500</v>
      </c>
      <c r="Y101" s="219">
        <f t="shared" si="10"/>
        <v>2500</v>
      </c>
      <c r="Z101" s="219">
        <f t="shared" si="10"/>
        <v>2500</v>
      </c>
      <c r="AA101" s="219">
        <f t="shared" si="10"/>
        <v>2500</v>
      </c>
      <c r="AB101" s="219">
        <f t="shared" si="10"/>
        <v>2500</v>
      </c>
      <c r="AC101" s="219">
        <f t="shared" si="10"/>
        <v>2500</v>
      </c>
      <c r="AD101" s="219">
        <f t="shared" si="10"/>
        <v>2500</v>
      </c>
    </row>
    <row r="102" spans="1:30">
      <c r="A102" s="214" t="s">
        <v>618</v>
      </c>
      <c r="B102" s="322" t="s">
        <v>113</v>
      </c>
      <c r="C102" s="288"/>
      <c r="D102" s="219">
        <v>25</v>
      </c>
      <c r="E102" s="219">
        <f>D102</f>
        <v>25</v>
      </c>
      <c r="F102" s="219">
        <f t="shared" ref="F102:AD102" si="11">E102</f>
        <v>25</v>
      </c>
      <c r="G102" s="219">
        <f t="shared" si="11"/>
        <v>25</v>
      </c>
      <c r="H102" s="219">
        <f t="shared" si="11"/>
        <v>25</v>
      </c>
      <c r="I102" s="219">
        <f t="shared" si="11"/>
        <v>25</v>
      </c>
      <c r="J102" s="219">
        <f t="shared" si="11"/>
        <v>25</v>
      </c>
      <c r="K102" s="219">
        <f t="shared" si="11"/>
        <v>25</v>
      </c>
      <c r="L102" s="219">
        <f t="shared" si="11"/>
        <v>25</v>
      </c>
      <c r="M102" s="219">
        <f t="shared" si="11"/>
        <v>25</v>
      </c>
      <c r="N102" s="219">
        <f t="shared" si="11"/>
        <v>25</v>
      </c>
      <c r="O102" s="219">
        <f t="shared" si="11"/>
        <v>25</v>
      </c>
      <c r="P102" s="219">
        <f t="shared" si="11"/>
        <v>25</v>
      </c>
      <c r="Q102" s="219">
        <f t="shared" si="11"/>
        <v>25</v>
      </c>
      <c r="R102" s="219">
        <f t="shared" si="11"/>
        <v>25</v>
      </c>
      <c r="S102" s="219">
        <f t="shared" si="11"/>
        <v>25</v>
      </c>
      <c r="T102" s="219">
        <f t="shared" si="11"/>
        <v>25</v>
      </c>
      <c r="U102" s="219">
        <f t="shared" si="11"/>
        <v>25</v>
      </c>
      <c r="V102" s="219">
        <f t="shared" si="11"/>
        <v>25</v>
      </c>
      <c r="W102" s="219">
        <f t="shared" si="11"/>
        <v>25</v>
      </c>
      <c r="X102" s="219">
        <f t="shared" si="11"/>
        <v>25</v>
      </c>
      <c r="Y102" s="219">
        <f t="shared" si="11"/>
        <v>25</v>
      </c>
      <c r="Z102" s="219">
        <f t="shared" si="11"/>
        <v>25</v>
      </c>
      <c r="AA102" s="219">
        <f t="shared" si="11"/>
        <v>25</v>
      </c>
      <c r="AB102" s="219">
        <f t="shared" si="11"/>
        <v>25</v>
      </c>
      <c r="AC102" s="219">
        <f t="shared" si="11"/>
        <v>25</v>
      </c>
      <c r="AD102" s="219">
        <f t="shared" si="11"/>
        <v>25</v>
      </c>
    </row>
    <row r="103" spans="1:30">
      <c r="A103" s="214" t="s">
        <v>619</v>
      </c>
      <c r="B103" s="322" t="s">
        <v>47</v>
      </c>
      <c r="C103" s="288"/>
      <c r="D103" s="288">
        <v>20</v>
      </c>
      <c r="E103" s="288">
        <f>D103</f>
        <v>20</v>
      </c>
      <c r="F103" s="288">
        <f t="shared" ref="F103:AD103" si="12">E103</f>
        <v>20</v>
      </c>
      <c r="G103" s="288">
        <f t="shared" si="12"/>
        <v>20</v>
      </c>
      <c r="H103" s="288">
        <f t="shared" si="12"/>
        <v>20</v>
      </c>
      <c r="I103" s="288">
        <f t="shared" si="12"/>
        <v>20</v>
      </c>
      <c r="J103" s="288">
        <f t="shared" si="12"/>
        <v>20</v>
      </c>
      <c r="K103" s="288">
        <f t="shared" si="12"/>
        <v>20</v>
      </c>
      <c r="L103" s="288">
        <f t="shared" si="12"/>
        <v>20</v>
      </c>
      <c r="M103" s="288">
        <f t="shared" si="12"/>
        <v>20</v>
      </c>
      <c r="N103" s="288">
        <f t="shared" si="12"/>
        <v>20</v>
      </c>
      <c r="O103" s="288">
        <f t="shared" si="12"/>
        <v>20</v>
      </c>
      <c r="P103" s="288">
        <f t="shared" si="12"/>
        <v>20</v>
      </c>
      <c r="Q103" s="288">
        <f t="shared" si="12"/>
        <v>20</v>
      </c>
      <c r="R103" s="288">
        <f t="shared" si="12"/>
        <v>20</v>
      </c>
      <c r="S103" s="288">
        <f t="shared" si="12"/>
        <v>20</v>
      </c>
      <c r="T103" s="288">
        <f t="shared" si="12"/>
        <v>20</v>
      </c>
      <c r="U103" s="288">
        <f t="shared" si="12"/>
        <v>20</v>
      </c>
      <c r="V103" s="288">
        <f t="shared" si="12"/>
        <v>20</v>
      </c>
      <c r="W103" s="288">
        <f t="shared" si="12"/>
        <v>20</v>
      </c>
      <c r="X103" s="288">
        <f t="shared" si="12"/>
        <v>20</v>
      </c>
      <c r="Y103" s="288">
        <f t="shared" si="12"/>
        <v>20</v>
      </c>
      <c r="Z103" s="288">
        <f t="shared" si="12"/>
        <v>20</v>
      </c>
      <c r="AA103" s="288">
        <f t="shared" si="12"/>
        <v>20</v>
      </c>
      <c r="AB103" s="288">
        <f t="shared" si="12"/>
        <v>20</v>
      </c>
      <c r="AC103" s="288">
        <f t="shared" si="12"/>
        <v>20</v>
      </c>
      <c r="AD103" s="288">
        <f t="shared" si="12"/>
        <v>20</v>
      </c>
    </row>
    <row r="104" spans="1:30" customFormat="1" ht="15.5">
      <c r="A104" s="97" t="s">
        <v>190</v>
      </c>
      <c r="C104" s="3"/>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row>
    <row r="105" spans="1:30">
      <c r="A105" s="214" t="s">
        <v>620</v>
      </c>
      <c r="B105" s="322" t="s">
        <v>60</v>
      </c>
      <c r="C105" s="288"/>
      <c r="D105" s="288">
        <v>80</v>
      </c>
      <c r="E105" s="288">
        <f>D105</f>
        <v>80</v>
      </c>
      <c r="F105" s="288">
        <f t="shared" ref="F105:AD105" si="13">E105</f>
        <v>80</v>
      </c>
      <c r="G105" s="288">
        <f t="shared" si="13"/>
        <v>80</v>
      </c>
      <c r="H105" s="288">
        <f t="shared" si="13"/>
        <v>80</v>
      </c>
      <c r="I105" s="288">
        <f t="shared" si="13"/>
        <v>80</v>
      </c>
      <c r="J105" s="288">
        <f t="shared" si="13"/>
        <v>80</v>
      </c>
      <c r="K105" s="288">
        <f t="shared" si="13"/>
        <v>80</v>
      </c>
      <c r="L105" s="288">
        <f t="shared" si="13"/>
        <v>80</v>
      </c>
      <c r="M105" s="288">
        <f t="shared" si="13"/>
        <v>80</v>
      </c>
      <c r="N105" s="288">
        <f t="shared" si="13"/>
        <v>80</v>
      </c>
      <c r="O105" s="288">
        <f t="shared" si="13"/>
        <v>80</v>
      </c>
      <c r="P105" s="288">
        <f t="shared" si="13"/>
        <v>80</v>
      </c>
      <c r="Q105" s="288">
        <f t="shared" si="13"/>
        <v>80</v>
      </c>
      <c r="R105" s="288">
        <f t="shared" si="13"/>
        <v>80</v>
      </c>
      <c r="S105" s="288">
        <f t="shared" si="13"/>
        <v>80</v>
      </c>
      <c r="T105" s="288">
        <f t="shared" si="13"/>
        <v>80</v>
      </c>
      <c r="U105" s="288">
        <f t="shared" si="13"/>
        <v>80</v>
      </c>
      <c r="V105" s="288">
        <f t="shared" si="13"/>
        <v>80</v>
      </c>
      <c r="W105" s="288">
        <f t="shared" si="13"/>
        <v>80</v>
      </c>
      <c r="X105" s="288">
        <f t="shared" si="13"/>
        <v>80</v>
      </c>
      <c r="Y105" s="288">
        <f t="shared" si="13"/>
        <v>80</v>
      </c>
      <c r="Z105" s="288">
        <f t="shared" si="13"/>
        <v>80</v>
      </c>
      <c r="AA105" s="288">
        <f t="shared" si="13"/>
        <v>80</v>
      </c>
      <c r="AB105" s="288">
        <f t="shared" si="13"/>
        <v>80</v>
      </c>
      <c r="AC105" s="288">
        <f t="shared" si="13"/>
        <v>80</v>
      </c>
      <c r="AD105" s="288">
        <f t="shared" si="13"/>
        <v>80</v>
      </c>
    </row>
    <row r="106" spans="1:30">
      <c r="A106" s="214" t="s">
        <v>621</v>
      </c>
      <c r="B106" s="322" t="s">
        <v>61</v>
      </c>
      <c r="C106" s="288"/>
      <c r="D106" s="288">
        <v>0.08</v>
      </c>
      <c r="E106" s="288">
        <f>D106</f>
        <v>0.08</v>
      </c>
      <c r="F106" s="288">
        <f t="shared" ref="F106:AD106" si="14">E106</f>
        <v>0.08</v>
      </c>
      <c r="G106" s="288">
        <f t="shared" si="14"/>
        <v>0.08</v>
      </c>
      <c r="H106" s="288">
        <f t="shared" si="14"/>
        <v>0.08</v>
      </c>
      <c r="I106" s="288">
        <f t="shared" si="14"/>
        <v>0.08</v>
      </c>
      <c r="J106" s="288">
        <f t="shared" si="14"/>
        <v>0.08</v>
      </c>
      <c r="K106" s="288">
        <f t="shared" si="14"/>
        <v>0.08</v>
      </c>
      <c r="L106" s="288">
        <f t="shared" si="14"/>
        <v>0.08</v>
      </c>
      <c r="M106" s="288">
        <f t="shared" si="14"/>
        <v>0.08</v>
      </c>
      <c r="N106" s="288">
        <f t="shared" si="14"/>
        <v>0.08</v>
      </c>
      <c r="O106" s="288">
        <f t="shared" si="14"/>
        <v>0.08</v>
      </c>
      <c r="P106" s="288">
        <f t="shared" si="14"/>
        <v>0.08</v>
      </c>
      <c r="Q106" s="288">
        <f t="shared" si="14"/>
        <v>0.08</v>
      </c>
      <c r="R106" s="288">
        <f t="shared" si="14"/>
        <v>0.08</v>
      </c>
      <c r="S106" s="288">
        <f t="shared" si="14"/>
        <v>0.08</v>
      </c>
      <c r="T106" s="288">
        <f t="shared" si="14"/>
        <v>0.08</v>
      </c>
      <c r="U106" s="288">
        <f t="shared" si="14"/>
        <v>0.08</v>
      </c>
      <c r="V106" s="288">
        <f t="shared" si="14"/>
        <v>0.08</v>
      </c>
      <c r="W106" s="288">
        <f t="shared" si="14"/>
        <v>0.08</v>
      </c>
      <c r="X106" s="288">
        <f t="shared" si="14"/>
        <v>0.08</v>
      </c>
      <c r="Y106" s="288">
        <f t="shared" si="14"/>
        <v>0.08</v>
      </c>
      <c r="Z106" s="288">
        <f t="shared" si="14"/>
        <v>0.08</v>
      </c>
      <c r="AA106" s="288">
        <f t="shared" si="14"/>
        <v>0.08</v>
      </c>
      <c r="AB106" s="288">
        <f t="shared" si="14"/>
        <v>0.08</v>
      </c>
      <c r="AC106" s="288">
        <f t="shared" si="14"/>
        <v>0.08</v>
      </c>
      <c r="AD106" s="288">
        <f t="shared" si="14"/>
        <v>0.08</v>
      </c>
    </row>
    <row r="107" spans="1:30">
      <c r="A107" s="214" t="s">
        <v>622</v>
      </c>
      <c r="B107" s="322" t="s">
        <v>62</v>
      </c>
      <c r="C107" s="288"/>
      <c r="D107" s="288">
        <v>5</v>
      </c>
      <c r="E107" s="288">
        <f>D107</f>
        <v>5</v>
      </c>
      <c r="F107" s="288">
        <f t="shared" ref="F107:AD107" si="15">E107</f>
        <v>5</v>
      </c>
      <c r="G107" s="288">
        <f t="shared" si="15"/>
        <v>5</v>
      </c>
      <c r="H107" s="288">
        <f t="shared" si="15"/>
        <v>5</v>
      </c>
      <c r="I107" s="288">
        <f t="shared" si="15"/>
        <v>5</v>
      </c>
      <c r="J107" s="288">
        <f t="shared" si="15"/>
        <v>5</v>
      </c>
      <c r="K107" s="288">
        <f t="shared" si="15"/>
        <v>5</v>
      </c>
      <c r="L107" s="288">
        <f t="shared" si="15"/>
        <v>5</v>
      </c>
      <c r="M107" s="288">
        <f t="shared" si="15"/>
        <v>5</v>
      </c>
      <c r="N107" s="288">
        <f t="shared" si="15"/>
        <v>5</v>
      </c>
      <c r="O107" s="288">
        <f t="shared" si="15"/>
        <v>5</v>
      </c>
      <c r="P107" s="288">
        <f t="shared" si="15"/>
        <v>5</v>
      </c>
      <c r="Q107" s="288">
        <f t="shared" si="15"/>
        <v>5</v>
      </c>
      <c r="R107" s="288">
        <f t="shared" si="15"/>
        <v>5</v>
      </c>
      <c r="S107" s="288">
        <f t="shared" si="15"/>
        <v>5</v>
      </c>
      <c r="T107" s="288">
        <f t="shared" si="15"/>
        <v>5</v>
      </c>
      <c r="U107" s="288">
        <f t="shared" si="15"/>
        <v>5</v>
      </c>
      <c r="V107" s="288">
        <f t="shared" si="15"/>
        <v>5</v>
      </c>
      <c r="W107" s="288">
        <f t="shared" si="15"/>
        <v>5</v>
      </c>
      <c r="X107" s="288">
        <f t="shared" si="15"/>
        <v>5</v>
      </c>
      <c r="Y107" s="288">
        <f t="shared" si="15"/>
        <v>5</v>
      </c>
      <c r="Z107" s="288">
        <f t="shared" si="15"/>
        <v>5</v>
      </c>
      <c r="AA107" s="288">
        <f t="shared" si="15"/>
        <v>5</v>
      </c>
      <c r="AB107" s="288">
        <f t="shared" si="15"/>
        <v>5</v>
      </c>
      <c r="AC107" s="288">
        <f t="shared" si="15"/>
        <v>5</v>
      </c>
      <c r="AD107" s="288">
        <f t="shared" si="15"/>
        <v>5</v>
      </c>
    </row>
    <row r="108" spans="1:30">
      <c r="A108" s="214" t="s">
        <v>623</v>
      </c>
      <c r="B108" s="322" t="s">
        <v>62</v>
      </c>
      <c r="C108" s="288"/>
      <c r="D108" s="288">
        <v>0.5</v>
      </c>
      <c r="E108" s="288">
        <f>D108</f>
        <v>0.5</v>
      </c>
      <c r="F108" s="288">
        <f t="shared" ref="F108:AD108" si="16">E108</f>
        <v>0.5</v>
      </c>
      <c r="G108" s="288">
        <f t="shared" si="16"/>
        <v>0.5</v>
      </c>
      <c r="H108" s="288">
        <f t="shared" si="16"/>
        <v>0.5</v>
      </c>
      <c r="I108" s="288">
        <f t="shared" si="16"/>
        <v>0.5</v>
      </c>
      <c r="J108" s="288">
        <f t="shared" si="16"/>
        <v>0.5</v>
      </c>
      <c r="K108" s="288">
        <f t="shared" si="16"/>
        <v>0.5</v>
      </c>
      <c r="L108" s="288">
        <f t="shared" si="16"/>
        <v>0.5</v>
      </c>
      <c r="M108" s="288">
        <f t="shared" si="16"/>
        <v>0.5</v>
      </c>
      <c r="N108" s="288">
        <f t="shared" si="16"/>
        <v>0.5</v>
      </c>
      <c r="O108" s="288">
        <f t="shared" si="16"/>
        <v>0.5</v>
      </c>
      <c r="P108" s="288">
        <f t="shared" si="16"/>
        <v>0.5</v>
      </c>
      <c r="Q108" s="288">
        <f t="shared" si="16"/>
        <v>0.5</v>
      </c>
      <c r="R108" s="288">
        <f t="shared" si="16"/>
        <v>0.5</v>
      </c>
      <c r="S108" s="288">
        <f t="shared" si="16"/>
        <v>0.5</v>
      </c>
      <c r="T108" s="288">
        <f t="shared" si="16"/>
        <v>0.5</v>
      </c>
      <c r="U108" s="288">
        <f t="shared" si="16"/>
        <v>0.5</v>
      </c>
      <c r="V108" s="288">
        <f t="shared" si="16"/>
        <v>0.5</v>
      </c>
      <c r="W108" s="288">
        <f t="shared" si="16"/>
        <v>0.5</v>
      </c>
      <c r="X108" s="288">
        <f t="shared" si="16"/>
        <v>0.5</v>
      </c>
      <c r="Y108" s="288">
        <f t="shared" si="16"/>
        <v>0.5</v>
      </c>
      <c r="Z108" s="288">
        <f t="shared" si="16"/>
        <v>0.5</v>
      </c>
      <c r="AA108" s="288">
        <f t="shared" si="16"/>
        <v>0.5</v>
      </c>
      <c r="AB108" s="288">
        <f t="shared" si="16"/>
        <v>0.5</v>
      </c>
      <c r="AC108" s="288">
        <f t="shared" si="16"/>
        <v>0.5</v>
      </c>
      <c r="AD108" s="288">
        <f t="shared" si="16"/>
        <v>0.5</v>
      </c>
    </row>
    <row r="109" spans="1:30" s="32" customFormat="1" ht="53.25" customHeight="1">
      <c r="A109" s="21" t="s">
        <v>4</v>
      </c>
      <c r="C109" s="33"/>
      <c r="I109" s="33"/>
      <c r="J109" s="33"/>
      <c r="K109" s="33"/>
      <c r="L109" s="33"/>
      <c r="M109" s="33"/>
      <c r="N109" s="33"/>
      <c r="O109" s="33"/>
      <c r="P109" s="33"/>
      <c r="Q109" s="33"/>
      <c r="R109" s="33"/>
      <c r="S109" s="33"/>
      <c r="T109" s="33"/>
      <c r="U109" s="33"/>
      <c r="V109" s="33"/>
      <c r="W109" s="33"/>
      <c r="X109" s="33"/>
      <c r="Y109" s="33"/>
      <c r="Z109" s="33"/>
      <c r="AA109" s="33"/>
      <c r="AB109" s="33"/>
      <c r="AC109" s="33"/>
      <c r="AD109" s="33"/>
    </row>
    <row r="110" spans="1:30" outlineLevel="1">
      <c r="A110" s="265" t="s">
        <v>543</v>
      </c>
      <c r="D110" s="15"/>
      <c r="E110" s="15"/>
      <c r="F110" s="15"/>
      <c r="G110" s="15"/>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row>
    <row r="111" spans="1:30" ht="43.25" customHeight="1">
      <c r="A111" s="22" t="s">
        <v>7</v>
      </c>
      <c r="I111" s="15"/>
      <c r="J111" s="15"/>
      <c r="K111" s="15"/>
      <c r="L111" s="15"/>
      <c r="M111" s="15"/>
      <c r="N111" s="15"/>
      <c r="O111" s="15"/>
      <c r="P111" s="15"/>
      <c r="Q111" s="15"/>
      <c r="R111" s="15"/>
      <c r="S111" s="15"/>
      <c r="T111" s="15"/>
      <c r="U111" s="15"/>
      <c r="V111" s="15"/>
      <c r="W111" s="15"/>
      <c r="X111" s="15"/>
      <c r="Y111" s="15"/>
      <c r="Z111" s="15"/>
      <c r="AA111" s="15"/>
      <c r="AB111" s="15"/>
      <c r="AC111" s="15"/>
      <c r="AD111" s="15"/>
    </row>
    <row r="112" spans="1:30" ht="34.25" customHeight="1">
      <c r="A112" s="23" t="s">
        <v>194</v>
      </c>
      <c r="I112" s="15"/>
      <c r="J112" s="15"/>
      <c r="K112" s="15"/>
      <c r="L112" s="15"/>
      <c r="M112" s="15"/>
      <c r="N112" s="15"/>
      <c r="O112" s="15"/>
      <c r="P112" s="15"/>
      <c r="Q112" s="15"/>
      <c r="R112" s="15"/>
      <c r="S112" s="15"/>
      <c r="T112" s="15"/>
      <c r="U112" s="15"/>
      <c r="V112" s="15"/>
      <c r="W112" s="15"/>
      <c r="X112" s="15"/>
      <c r="Y112" s="15"/>
      <c r="Z112" s="15"/>
      <c r="AA112" s="15"/>
      <c r="AB112" s="15"/>
      <c r="AC112" s="15"/>
      <c r="AD112" s="15"/>
    </row>
    <row r="113" spans="1:30" s="8" customFormat="1" ht="15.5" outlineLevel="1">
      <c r="A113" s="242" t="str">
        <f>'Expected NPV &amp; Common Data'!A$36</f>
        <v>Calendar Year --&gt;</v>
      </c>
      <c r="B113" s="243" t="str">
        <f>'Expected NPV &amp; Common Data'!B$36</f>
        <v>units</v>
      </c>
      <c r="C113" s="244" t="str">
        <f>'Expected NPV &amp; Common Data'!C$36</f>
        <v>Total</v>
      </c>
      <c r="D113" s="245">
        <f>'Expected NPV &amp; Common Data'!D$36</f>
        <v>2027</v>
      </c>
      <c r="E113" s="245">
        <f>'Expected NPV &amp; Common Data'!E$36</f>
        <v>2028</v>
      </c>
      <c r="F113" s="245">
        <f>'Expected NPV &amp; Common Data'!F$36</f>
        <v>2029</v>
      </c>
      <c r="G113" s="245">
        <f>'Expected NPV &amp; Common Data'!G$36</f>
        <v>2030</v>
      </c>
      <c r="H113" s="245">
        <f>'Expected NPV &amp; Common Data'!H$36</f>
        <v>2031</v>
      </c>
      <c r="I113" s="245">
        <f>'Expected NPV &amp; Common Data'!I$36</f>
        <v>2032</v>
      </c>
      <c r="J113" s="245">
        <f>'Expected NPV &amp; Common Data'!J$36</f>
        <v>2033</v>
      </c>
      <c r="K113" s="245">
        <f>'Expected NPV &amp; Common Data'!K$36</f>
        <v>2034</v>
      </c>
      <c r="L113" s="245">
        <f>'Expected NPV &amp; Common Data'!L$36</f>
        <v>2035</v>
      </c>
      <c r="M113" s="245">
        <f>'Expected NPV &amp; Common Data'!M$36</f>
        <v>2036</v>
      </c>
      <c r="N113" s="245">
        <f>'Expected NPV &amp; Common Data'!N$36</f>
        <v>2037</v>
      </c>
      <c r="O113" s="245">
        <f>'Expected NPV &amp; Common Data'!O$36</f>
        <v>2038</v>
      </c>
      <c r="P113" s="245">
        <f>'Expected NPV &amp; Common Data'!P$36</f>
        <v>2039</v>
      </c>
      <c r="Q113" s="245">
        <f>'Expected NPV &amp; Common Data'!Q$36</f>
        <v>2040</v>
      </c>
      <c r="R113" s="245">
        <f>'Expected NPV &amp; Common Data'!R$36</f>
        <v>2041</v>
      </c>
      <c r="S113" s="245">
        <f>'Expected NPV &amp; Common Data'!S$36</f>
        <v>2042</v>
      </c>
      <c r="T113" s="245">
        <f>'Expected NPV &amp; Common Data'!T$36</f>
        <v>2043</v>
      </c>
      <c r="U113" s="245">
        <f>'Expected NPV &amp; Common Data'!U$36</f>
        <v>2044</v>
      </c>
      <c r="V113" s="245">
        <f>'Expected NPV &amp; Common Data'!V$36</f>
        <v>2045</v>
      </c>
      <c r="W113" s="245">
        <f>'Expected NPV &amp; Common Data'!W$36</f>
        <v>2046</v>
      </c>
      <c r="X113" s="245">
        <f>'Expected NPV &amp; Common Data'!X$36</f>
        <v>2047</v>
      </c>
      <c r="Y113" s="245">
        <f>'Expected NPV &amp; Common Data'!Y$36</f>
        <v>2048</v>
      </c>
      <c r="Z113" s="245">
        <f>'Expected NPV &amp; Common Data'!Z$36</f>
        <v>2049</v>
      </c>
      <c r="AA113" s="245">
        <f>'Expected NPV &amp; Common Data'!AA$36</f>
        <v>2050</v>
      </c>
      <c r="AB113" s="245">
        <f>'Expected NPV &amp; Common Data'!AB$36</f>
        <v>2051</v>
      </c>
      <c r="AC113" s="245">
        <f>'Expected NPV &amp; Common Data'!AC$36</f>
        <v>2052</v>
      </c>
      <c r="AD113" s="245">
        <f>'Expected NPV &amp; Common Data'!AD$36</f>
        <v>2053</v>
      </c>
    </row>
    <row r="114" spans="1:30" outlineLevel="1">
      <c r="A114" s="134" t="s">
        <v>544</v>
      </c>
      <c r="C114" s="42"/>
      <c r="D114" s="13"/>
      <c r="E114" s="13"/>
      <c r="F114" s="13"/>
      <c r="G114" s="13"/>
      <c r="H114" s="13"/>
      <c r="I114" s="42"/>
      <c r="J114" s="42"/>
      <c r="K114" s="42"/>
      <c r="L114" s="42"/>
      <c r="M114" s="42"/>
      <c r="N114" s="42"/>
      <c r="O114" s="42"/>
      <c r="P114" s="42"/>
      <c r="Q114" s="42"/>
      <c r="R114" s="42"/>
      <c r="S114" s="42"/>
      <c r="T114" s="42"/>
      <c r="U114" s="42"/>
      <c r="V114" s="42"/>
      <c r="W114" s="42"/>
      <c r="X114" s="42"/>
      <c r="Y114" s="42"/>
      <c r="Z114" s="42"/>
      <c r="AA114" s="42"/>
      <c r="AB114" s="42"/>
      <c r="AC114" s="42"/>
      <c r="AD114" s="42"/>
    </row>
    <row r="115" spans="1:30" outlineLevel="1">
      <c r="A115" s="31" t="s">
        <v>227</v>
      </c>
      <c r="C115" s="42"/>
      <c r="D115" s="13"/>
      <c r="E115" s="13"/>
      <c r="F115" s="13"/>
      <c r="G115" s="13"/>
      <c r="H115" s="13"/>
      <c r="I115" s="42"/>
      <c r="J115" s="42"/>
      <c r="K115" s="42"/>
      <c r="L115" s="42"/>
      <c r="M115" s="42"/>
      <c r="N115" s="42"/>
      <c r="O115" s="42"/>
      <c r="P115" s="42"/>
      <c r="Q115" s="42"/>
      <c r="R115" s="42"/>
      <c r="S115" s="42"/>
      <c r="T115" s="42"/>
      <c r="U115" s="42"/>
      <c r="V115" s="42"/>
      <c r="W115" s="42"/>
      <c r="X115" s="42"/>
      <c r="Y115" s="42"/>
      <c r="Z115" s="42"/>
      <c r="AA115" s="42"/>
      <c r="AB115" s="42"/>
      <c r="AC115" s="42"/>
      <c r="AD115" s="42"/>
    </row>
    <row r="116" spans="1:30" ht="14.4" customHeight="1" outlineLevel="1">
      <c r="A116" s="214" t="s">
        <v>233</v>
      </c>
      <c r="B116" s="214" t="s">
        <v>156</v>
      </c>
      <c r="C116" s="56">
        <f>SUM(D116:AD116)</f>
        <v>492</v>
      </c>
      <c r="D116" s="226"/>
      <c r="E116" s="219">
        <v>37</v>
      </c>
      <c r="F116" s="219">
        <v>37</v>
      </c>
      <c r="G116" s="219">
        <v>35</v>
      </c>
      <c r="H116" s="219">
        <v>60</v>
      </c>
      <c r="I116" s="219">
        <v>60</v>
      </c>
      <c r="J116" s="219">
        <v>48</v>
      </c>
      <c r="K116" s="219">
        <v>38</v>
      </c>
      <c r="L116" s="219">
        <v>38</v>
      </c>
      <c r="M116" s="219">
        <v>38</v>
      </c>
      <c r="N116" s="219">
        <v>38</v>
      </c>
      <c r="O116" s="219">
        <v>38</v>
      </c>
      <c r="P116" s="219">
        <v>25</v>
      </c>
      <c r="Q116" s="219"/>
      <c r="R116" s="219"/>
      <c r="S116" s="219"/>
      <c r="T116" s="219"/>
      <c r="U116" s="219"/>
      <c r="V116" s="219"/>
      <c r="W116" s="219"/>
      <c r="X116" s="219"/>
      <c r="Y116" s="219"/>
      <c r="Z116" s="219"/>
      <c r="AA116" s="219"/>
      <c r="AB116" s="219"/>
      <c r="AC116" s="219"/>
      <c r="AD116" s="219"/>
    </row>
    <row r="117" spans="1:30" ht="14.4" customHeight="1" outlineLevel="1">
      <c r="A117" s="214" t="s">
        <v>229</v>
      </c>
      <c r="B117" s="214" t="s">
        <v>156</v>
      </c>
      <c r="C117" s="56">
        <f>SUM(D117:AD117)</f>
        <v>58</v>
      </c>
      <c r="D117" s="226"/>
      <c r="E117" s="226"/>
      <c r="F117" s="226">
        <v>6</v>
      </c>
      <c r="G117" s="226">
        <v>8</v>
      </c>
      <c r="H117" s="226">
        <f t="shared" ref="H117:L121" si="17">G117</f>
        <v>8</v>
      </c>
      <c r="I117" s="226">
        <f t="shared" si="17"/>
        <v>8</v>
      </c>
      <c r="J117" s="226">
        <f t="shared" si="17"/>
        <v>8</v>
      </c>
      <c r="K117" s="226">
        <v>5</v>
      </c>
      <c r="L117" s="226">
        <v>3</v>
      </c>
      <c r="M117" s="226">
        <f t="shared" ref="L117:P121" si="18">L117</f>
        <v>3</v>
      </c>
      <c r="N117" s="226">
        <f t="shared" si="18"/>
        <v>3</v>
      </c>
      <c r="O117" s="226">
        <f t="shared" si="18"/>
        <v>3</v>
      </c>
      <c r="P117" s="226">
        <f t="shared" si="18"/>
        <v>3</v>
      </c>
      <c r="Q117" s="226"/>
      <c r="R117" s="226"/>
      <c r="S117" s="226"/>
      <c r="T117" s="226"/>
      <c r="U117" s="226"/>
      <c r="V117" s="226"/>
      <c r="W117" s="226"/>
      <c r="X117" s="226"/>
      <c r="Y117" s="226"/>
      <c r="Z117" s="226"/>
      <c r="AA117" s="226"/>
      <c r="AB117" s="226"/>
      <c r="AC117" s="226"/>
      <c r="AD117" s="226"/>
    </row>
    <row r="118" spans="1:30" ht="14.4" customHeight="1" outlineLevel="1">
      <c r="A118" s="214" t="s">
        <v>97</v>
      </c>
      <c r="B118" s="214" t="s">
        <v>35</v>
      </c>
      <c r="C118" s="215">
        <f>C123/C117/1000</f>
        <v>9.5999999999999992E-3</v>
      </c>
      <c r="D118" s="216"/>
      <c r="E118" s="216"/>
      <c r="F118" s="216">
        <v>9.5999999999999992E-3</v>
      </c>
      <c r="G118" s="216">
        <f>F118</f>
        <v>9.5999999999999992E-3</v>
      </c>
      <c r="H118" s="216">
        <f t="shared" si="17"/>
        <v>9.5999999999999992E-3</v>
      </c>
      <c r="I118" s="216">
        <f t="shared" si="17"/>
        <v>9.5999999999999992E-3</v>
      </c>
      <c r="J118" s="216">
        <f t="shared" si="17"/>
        <v>9.5999999999999992E-3</v>
      </c>
      <c r="K118" s="216">
        <f t="shared" si="17"/>
        <v>9.5999999999999992E-3</v>
      </c>
      <c r="L118" s="216">
        <f t="shared" si="17"/>
        <v>9.5999999999999992E-3</v>
      </c>
      <c r="M118" s="216">
        <f t="shared" si="18"/>
        <v>9.5999999999999992E-3</v>
      </c>
      <c r="N118" s="216">
        <f t="shared" si="18"/>
        <v>9.5999999999999992E-3</v>
      </c>
      <c r="O118" s="216">
        <f t="shared" si="18"/>
        <v>9.5999999999999992E-3</v>
      </c>
      <c r="P118" s="216">
        <f t="shared" si="18"/>
        <v>9.5999999999999992E-3</v>
      </c>
      <c r="Q118" s="216"/>
      <c r="R118" s="216"/>
      <c r="S118" s="216"/>
      <c r="T118" s="216"/>
      <c r="U118" s="253"/>
      <c r="V118" s="253"/>
      <c r="W118" s="253"/>
      <c r="X118" s="253"/>
      <c r="Y118" s="253"/>
      <c r="Z118" s="253"/>
      <c r="AA118" s="253"/>
      <c r="AB118" s="253"/>
      <c r="AC118" s="253"/>
      <c r="AD118" s="253"/>
    </row>
    <row r="119" spans="1:30" ht="14.4" customHeight="1" outlineLevel="1">
      <c r="A119" s="214" t="s">
        <v>216</v>
      </c>
      <c r="B119" s="214" t="s">
        <v>217</v>
      </c>
      <c r="C119" s="254">
        <f>SUMPRODUCT(D$117:AD$117*D119:AD119)/C$117</f>
        <v>0.22</v>
      </c>
      <c r="D119" s="255"/>
      <c r="E119" s="255"/>
      <c r="F119" s="255">
        <v>0.22</v>
      </c>
      <c r="G119" s="255">
        <f>F119</f>
        <v>0.22</v>
      </c>
      <c r="H119" s="255">
        <f t="shared" si="17"/>
        <v>0.22</v>
      </c>
      <c r="I119" s="255">
        <f t="shared" si="17"/>
        <v>0.22</v>
      </c>
      <c r="J119" s="255">
        <f t="shared" si="17"/>
        <v>0.22</v>
      </c>
      <c r="K119" s="255">
        <f>J119</f>
        <v>0.22</v>
      </c>
      <c r="L119" s="255">
        <f t="shared" si="18"/>
        <v>0.22</v>
      </c>
      <c r="M119" s="255">
        <f t="shared" si="18"/>
        <v>0.22</v>
      </c>
      <c r="N119" s="255">
        <f t="shared" si="18"/>
        <v>0.22</v>
      </c>
      <c r="O119" s="255">
        <f t="shared" si="18"/>
        <v>0.22</v>
      </c>
      <c r="P119" s="255">
        <f t="shared" si="18"/>
        <v>0.22</v>
      </c>
      <c r="Q119" s="255"/>
      <c r="R119" s="255"/>
      <c r="S119" s="255"/>
      <c r="T119" s="255"/>
      <c r="U119" s="255"/>
      <c r="V119" s="255"/>
      <c r="W119" s="255"/>
      <c r="X119" s="255"/>
      <c r="Y119" s="255"/>
      <c r="Z119" s="255"/>
      <c r="AA119" s="255"/>
      <c r="AB119" s="255"/>
      <c r="AC119" s="255"/>
      <c r="AD119" s="255"/>
    </row>
    <row r="120" spans="1:30" ht="14.4" customHeight="1" outlineLevel="1">
      <c r="A120" s="214" t="s">
        <v>219</v>
      </c>
      <c r="B120" s="214" t="s">
        <v>218</v>
      </c>
      <c r="C120" s="254">
        <f>SUMPRODUCT(D$117:AD$117*D120:AD120)/C$117</f>
        <v>2</v>
      </c>
      <c r="D120" s="255"/>
      <c r="E120" s="255"/>
      <c r="F120" s="256">
        <v>2</v>
      </c>
      <c r="G120" s="256">
        <f>F120</f>
        <v>2</v>
      </c>
      <c r="H120" s="256">
        <f t="shared" si="17"/>
        <v>2</v>
      </c>
      <c r="I120" s="256">
        <f t="shared" si="17"/>
        <v>2</v>
      </c>
      <c r="J120" s="256">
        <f t="shared" si="17"/>
        <v>2</v>
      </c>
      <c r="K120" s="256">
        <f>J120</f>
        <v>2</v>
      </c>
      <c r="L120" s="256">
        <f t="shared" si="18"/>
        <v>2</v>
      </c>
      <c r="M120" s="256">
        <f t="shared" si="18"/>
        <v>2</v>
      </c>
      <c r="N120" s="256">
        <f t="shared" si="18"/>
        <v>2</v>
      </c>
      <c r="O120" s="256">
        <f t="shared" si="18"/>
        <v>2</v>
      </c>
      <c r="P120" s="256">
        <f t="shared" si="18"/>
        <v>2</v>
      </c>
      <c r="Q120" s="256"/>
      <c r="R120" s="256"/>
      <c r="S120" s="256"/>
      <c r="T120" s="256"/>
      <c r="U120" s="256"/>
      <c r="V120" s="256"/>
      <c r="W120" s="256"/>
      <c r="X120" s="256"/>
      <c r="Y120" s="256"/>
      <c r="Z120" s="256"/>
      <c r="AA120" s="256"/>
      <c r="AB120" s="256"/>
      <c r="AC120" s="256"/>
      <c r="AD120" s="256"/>
    </row>
    <row r="121" spans="1:30" ht="14.4" customHeight="1" outlineLevel="1">
      <c r="A121" s="214" t="s">
        <v>98</v>
      </c>
      <c r="B121" s="214" t="s">
        <v>99</v>
      </c>
      <c r="C121" s="215">
        <f>SUMPRODUCT(D$117:AD$117*D121:AD121)/C$117</f>
        <v>8.9999999999999998E-4</v>
      </c>
      <c r="D121" s="216"/>
      <c r="E121" s="216"/>
      <c r="F121" s="253">
        <v>8.9999999999999998E-4</v>
      </c>
      <c r="G121" s="216">
        <f>F121</f>
        <v>8.9999999999999998E-4</v>
      </c>
      <c r="H121" s="216">
        <f t="shared" si="17"/>
        <v>8.9999999999999998E-4</v>
      </c>
      <c r="I121" s="216">
        <f t="shared" si="17"/>
        <v>8.9999999999999998E-4</v>
      </c>
      <c r="J121" s="216">
        <f t="shared" si="17"/>
        <v>8.9999999999999998E-4</v>
      </c>
      <c r="K121" s="216">
        <f>J121</f>
        <v>8.9999999999999998E-4</v>
      </c>
      <c r="L121" s="216">
        <f t="shared" si="18"/>
        <v>8.9999999999999998E-4</v>
      </c>
      <c r="M121" s="216">
        <f t="shared" si="18"/>
        <v>8.9999999999999998E-4</v>
      </c>
      <c r="N121" s="216">
        <f t="shared" si="18"/>
        <v>8.9999999999999998E-4</v>
      </c>
      <c r="O121" s="216">
        <f t="shared" si="18"/>
        <v>8.9999999999999998E-4</v>
      </c>
      <c r="P121" s="216">
        <f t="shared" si="18"/>
        <v>8.9999999999999998E-4</v>
      </c>
      <c r="Q121" s="216"/>
      <c r="R121" s="216"/>
      <c r="S121" s="216"/>
      <c r="T121" s="216"/>
      <c r="U121" s="253"/>
      <c r="V121" s="253"/>
      <c r="W121" s="253"/>
      <c r="X121" s="253"/>
      <c r="Y121" s="253"/>
      <c r="Z121" s="253"/>
      <c r="AA121" s="253"/>
      <c r="AB121" s="253"/>
      <c r="AC121" s="253"/>
      <c r="AD121" s="253"/>
    </row>
    <row r="122" spans="1:30" outlineLevel="1">
      <c r="A122" s="90"/>
      <c r="C122" s="89"/>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row>
    <row r="123" spans="1:30" outlineLevel="1">
      <c r="A123" s="13" t="s">
        <v>231</v>
      </c>
      <c r="B123" s="13" t="s">
        <v>38</v>
      </c>
      <c r="C123" s="44">
        <f>SUM(D123:AD123)</f>
        <v>556.79999999999995</v>
      </c>
      <c r="D123" s="42">
        <f t="shared" ref="D123:AD123" si="19">D117*D118*1000</f>
        <v>0</v>
      </c>
      <c r="E123" s="42">
        <f t="shared" si="19"/>
        <v>0</v>
      </c>
      <c r="F123" s="42">
        <f t="shared" si="19"/>
        <v>57.6</v>
      </c>
      <c r="G123" s="42">
        <f t="shared" si="19"/>
        <v>76.8</v>
      </c>
      <c r="H123" s="42">
        <f t="shared" si="19"/>
        <v>76.8</v>
      </c>
      <c r="I123" s="42">
        <f t="shared" si="19"/>
        <v>76.8</v>
      </c>
      <c r="J123" s="42">
        <f t="shared" si="19"/>
        <v>76.8</v>
      </c>
      <c r="K123" s="42">
        <f t="shared" si="19"/>
        <v>47.999999999999993</v>
      </c>
      <c r="L123" s="42">
        <f t="shared" si="19"/>
        <v>28.8</v>
      </c>
      <c r="M123" s="42">
        <f t="shared" si="19"/>
        <v>28.8</v>
      </c>
      <c r="N123" s="42">
        <f t="shared" si="19"/>
        <v>28.8</v>
      </c>
      <c r="O123" s="42">
        <f t="shared" si="19"/>
        <v>28.8</v>
      </c>
      <c r="P123" s="42">
        <f t="shared" si="19"/>
        <v>28.8</v>
      </c>
      <c r="Q123" s="42">
        <f t="shared" si="19"/>
        <v>0</v>
      </c>
      <c r="R123" s="42">
        <f t="shared" si="19"/>
        <v>0</v>
      </c>
      <c r="S123" s="42">
        <f t="shared" si="19"/>
        <v>0</v>
      </c>
      <c r="T123" s="42">
        <f t="shared" si="19"/>
        <v>0</v>
      </c>
      <c r="U123" s="42">
        <f t="shared" si="19"/>
        <v>0</v>
      </c>
      <c r="V123" s="42">
        <f t="shared" si="19"/>
        <v>0</v>
      </c>
      <c r="W123" s="42">
        <f t="shared" si="19"/>
        <v>0</v>
      </c>
      <c r="X123" s="42">
        <f t="shared" si="19"/>
        <v>0</v>
      </c>
      <c r="Y123" s="42">
        <f t="shared" si="19"/>
        <v>0</v>
      </c>
      <c r="Z123" s="42">
        <f t="shared" si="19"/>
        <v>0</v>
      </c>
      <c r="AA123" s="42">
        <f t="shared" si="19"/>
        <v>0</v>
      </c>
      <c r="AB123" s="42">
        <f t="shared" si="19"/>
        <v>0</v>
      </c>
      <c r="AC123" s="42">
        <f t="shared" si="19"/>
        <v>0</v>
      </c>
      <c r="AD123" s="42">
        <f t="shared" si="19"/>
        <v>0</v>
      </c>
    </row>
    <row r="124" spans="1:30" outlineLevel="1">
      <c r="A124" s="13" t="s">
        <v>246</v>
      </c>
      <c r="B124" s="13" t="s">
        <v>247</v>
      </c>
      <c r="C124" s="44">
        <f>SUM(D124:AD124)</f>
        <v>410.28938906752421</v>
      </c>
      <c r="D124" s="42">
        <f t="shared" ref="D124:AD124" si="20">D117*D119/31.1*1000</f>
        <v>0</v>
      </c>
      <c r="E124" s="42">
        <f t="shared" si="20"/>
        <v>0</v>
      </c>
      <c r="F124" s="42">
        <f t="shared" si="20"/>
        <v>42.443729903536983</v>
      </c>
      <c r="G124" s="42">
        <f t="shared" si="20"/>
        <v>56.591639871382633</v>
      </c>
      <c r="H124" s="42">
        <f t="shared" si="20"/>
        <v>56.591639871382633</v>
      </c>
      <c r="I124" s="42">
        <f t="shared" si="20"/>
        <v>56.591639871382633</v>
      </c>
      <c r="J124" s="42">
        <f t="shared" si="20"/>
        <v>56.591639871382633</v>
      </c>
      <c r="K124" s="42">
        <f t="shared" si="20"/>
        <v>35.369774919614152</v>
      </c>
      <c r="L124" s="42">
        <f t="shared" si="20"/>
        <v>21.221864951768492</v>
      </c>
      <c r="M124" s="42">
        <f t="shared" si="20"/>
        <v>21.221864951768492</v>
      </c>
      <c r="N124" s="42">
        <f t="shared" si="20"/>
        <v>21.221864951768492</v>
      </c>
      <c r="O124" s="42">
        <f t="shared" si="20"/>
        <v>21.221864951768492</v>
      </c>
      <c r="P124" s="42">
        <f t="shared" si="20"/>
        <v>21.221864951768492</v>
      </c>
      <c r="Q124" s="42">
        <f t="shared" si="20"/>
        <v>0</v>
      </c>
      <c r="R124" s="42">
        <f t="shared" si="20"/>
        <v>0</v>
      </c>
      <c r="S124" s="42">
        <f t="shared" si="20"/>
        <v>0</v>
      </c>
      <c r="T124" s="42">
        <f t="shared" si="20"/>
        <v>0</v>
      </c>
      <c r="U124" s="42">
        <f t="shared" si="20"/>
        <v>0</v>
      </c>
      <c r="V124" s="42">
        <f t="shared" si="20"/>
        <v>0</v>
      </c>
      <c r="W124" s="42">
        <f t="shared" si="20"/>
        <v>0</v>
      </c>
      <c r="X124" s="42">
        <f t="shared" si="20"/>
        <v>0</v>
      </c>
      <c r="Y124" s="42">
        <f t="shared" si="20"/>
        <v>0</v>
      </c>
      <c r="Z124" s="42">
        <f t="shared" si="20"/>
        <v>0</v>
      </c>
      <c r="AA124" s="42">
        <f t="shared" si="20"/>
        <v>0</v>
      </c>
      <c r="AB124" s="42">
        <f t="shared" si="20"/>
        <v>0</v>
      </c>
      <c r="AC124" s="42">
        <f t="shared" si="20"/>
        <v>0</v>
      </c>
      <c r="AD124" s="42">
        <f t="shared" si="20"/>
        <v>0</v>
      </c>
    </row>
    <row r="125" spans="1:30" outlineLevel="1">
      <c r="A125" s="13" t="s">
        <v>248</v>
      </c>
      <c r="B125" s="13" t="s">
        <v>247</v>
      </c>
      <c r="C125" s="44">
        <f>SUM(D125:AD125)</f>
        <v>3729.9035369774924</v>
      </c>
      <c r="D125" s="42">
        <f t="shared" ref="D125:AD125" si="21">D117*D120/31.1*1000</f>
        <v>0</v>
      </c>
      <c r="E125" s="42">
        <f t="shared" si="21"/>
        <v>0</v>
      </c>
      <c r="F125" s="42">
        <f t="shared" si="21"/>
        <v>385.85209003215431</v>
      </c>
      <c r="G125" s="42">
        <f t="shared" si="21"/>
        <v>514.46945337620571</v>
      </c>
      <c r="H125" s="42">
        <f t="shared" si="21"/>
        <v>514.46945337620571</v>
      </c>
      <c r="I125" s="42">
        <f t="shared" si="21"/>
        <v>514.46945337620571</v>
      </c>
      <c r="J125" s="42">
        <f t="shared" si="21"/>
        <v>514.46945337620571</v>
      </c>
      <c r="K125" s="42">
        <f t="shared" si="21"/>
        <v>321.54340836012864</v>
      </c>
      <c r="L125" s="42">
        <f t="shared" si="21"/>
        <v>192.92604501607715</v>
      </c>
      <c r="M125" s="42">
        <f t="shared" si="21"/>
        <v>192.92604501607715</v>
      </c>
      <c r="N125" s="42">
        <f t="shared" si="21"/>
        <v>192.92604501607715</v>
      </c>
      <c r="O125" s="42">
        <f t="shared" si="21"/>
        <v>192.92604501607715</v>
      </c>
      <c r="P125" s="42">
        <f t="shared" si="21"/>
        <v>192.92604501607715</v>
      </c>
      <c r="Q125" s="42">
        <f t="shared" si="21"/>
        <v>0</v>
      </c>
      <c r="R125" s="42">
        <f t="shared" si="21"/>
        <v>0</v>
      </c>
      <c r="S125" s="42">
        <f t="shared" si="21"/>
        <v>0</v>
      </c>
      <c r="T125" s="42">
        <f t="shared" si="21"/>
        <v>0</v>
      </c>
      <c r="U125" s="42">
        <f t="shared" si="21"/>
        <v>0</v>
      </c>
      <c r="V125" s="42">
        <f t="shared" si="21"/>
        <v>0</v>
      </c>
      <c r="W125" s="42">
        <f t="shared" si="21"/>
        <v>0</v>
      </c>
      <c r="X125" s="42">
        <f t="shared" si="21"/>
        <v>0</v>
      </c>
      <c r="Y125" s="42">
        <f t="shared" si="21"/>
        <v>0</v>
      </c>
      <c r="Z125" s="42">
        <f t="shared" si="21"/>
        <v>0</v>
      </c>
      <c r="AA125" s="42">
        <f t="shared" si="21"/>
        <v>0</v>
      </c>
      <c r="AB125" s="42">
        <f t="shared" si="21"/>
        <v>0</v>
      </c>
      <c r="AC125" s="42">
        <f t="shared" si="21"/>
        <v>0</v>
      </c>
      <c r="AD125" s="42">
        <f t="shared" si="21"/>
        <v>0</v>
      </c>
    </row>
    <row r="126" spans="1:30" outlineLevel="1">
      <c r="A126" s="13" t="s">
        <v>245</v>
      </c>
      <c r="B126" s="13" t="s">
        <v>38</v>
      </c>
      <c r="C126" s="44">
        <f>SUM(D126:AD126)</f>
        <v>52.200000000000017</v>
      </c>
      <c r="D126" s="42">
        <f t="shared" ref="D126:AD126" si="22">D117*D121*1000</f>
        <v>0</v>
      </c>
      <c r="E126" s="42">
        <f t="shared" si="22"/>
        <v>0</v>
      </c>
      <c r="F126" s="42">
        <f t="shared" si="22"/>
        <v>5.4</v>
      </c>
      <c r="G126" s="42">
        <f t="shared" si="22"/>
        <v>7.2</v>
      </c>
      <c r="H126" s="42">
        <f t="shared" si="22"/>
        <v>7.2</v>
      </c>
      <c r="I126" s="42">
        <f t="shared" si="22"/>
        <v>7.2</v>
      </c>
      <c r="J126" s="42">
        <f t="shared" si="22"/>
        <v>7.2</v>
      </c>
      <c r="K126" s="42">
        <f t="shared" si="22"/>
        <v>4.5</v>
      </c>
      <c r="L126" s="42">
        <f t="shared" si="22"/>
        <v>2.7</v>
      </c>
      <c r="M126" s="42">
        <f t="shared" si="22"/>
        <v>2.7</v>
      </c>
      <c r="N126" s="42">
        <f t="shared" si="22"/>
        <v>2.7</v>
      </c>
      <c r="O126" s="42">
        <f t="shared" si="22"/>
        <v>2.7</v>
      </c>
      <c r="P126" s="42">
        <f t="shared" si="22"/>
        <v>2.7</v>
      </c>
      <c r="Q126" s="42">
        <f t="shared" si="22"/>
        <v>0</v>
      </c>
      <c r="R126" s="42">
        <f t="shared" si="22"/>
        <v>0</v>
      </c>
      <c r="S126" s="42">
        <f t="shared" si="22"/>
        <v>0</v>
      </c>
      <c r="T126" s="42">
        <f t="shared" si="22"/>
        <v>0</v>
      </c>
      <c r="U126" s="42">
        <f t="shared" si="22"/>
        <v>0</v>
      </c>
      <c r="V126" s="42">
        <f t="shared" si="22"/>
        <v>0</v>
      </c>
      <c r="W126" s="42">
        <f t="shared" si="22"/>
        <v>0</v>
      </c>
      <c r="X126" s="42">
        <f t="shared" si="22"/>
        <v>0</v>
      </c>
      <c r="Y126" s="42">
        <f t="shared" si="22"/>
        <v>0</v>
      </c>
      <c r="Z126" s="42">
        <f t="shared" si="22"/>
        <v>0</v>
      </c>
      <c r="AA126" s="42">
        <f t="shared" si="22"/>
        <v>0</v>
      </c>
      <c r="AB126" s="42">
        <f t="shared" si="22"/>
        <v>0</v>
      </c>
      <c r="AC126" s="42">
        <f t="shared" si="22"/>
        <v>0</v>
      </c>
      <c r="AD126" s="42">
        <f t="shared" si="22"/>
        <v>0</v>
      </c>
    </row>
    <row r="127" spans="1:30" outlineLevel="1">
      <c r="C127" s="44"/>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row>
    <row r="128" spans="1:30" outlineLevel="1">
      <c r="A128" s="31" t="s">
        <v>228</v>
      </c>
      <c r="C128" s="42"/>
      <c r="D128" s="13"/>
      <c r="E128" s="13"/>
      <c r="F128" s="13"/>
      <c r="G128" s="13"/>
      <c r="H128" s="13"/>
      <c r="I128" s="42"/>
      <c r="J128" s="42"/>
      <c r="K128" s="42"/>
      <c r="L128" s="42"/>
      <c r="M128" s="42"/>
      <c r="N128" s="42"/>
      <c r="O128" s="42"/>
      <c r="P128" s="42"/>
      <c r="Q128" s="42"/>
      <c r="R128" s="42"/>
      <c r="S128" s="42"/>
      <c r="T128" s="42"/>
      <c r="U128" s="42"/>
      <c r="V128" s="42"/>
      <c r="W128" s="42"/>
      <c r="X128" s="42"/>
      <c r="Y128" s="42"/>
      <c r="Z128" s="42"/>
      <c r="AA128" s="42"/>
      <c r="AB128" s="42"/>
      <c r="AC128" s="42"/>
      <c r="AD128" s="42"/>
    </row>
    <row r="129" spans="1:30" ht="14.4" customHeight="1" outlineLevel="1">
      <c r="A129" s="214" t="s">
        <v>234</v>
      </c>
      <c r="B129" s="214" t="s">
        <v>156</v>
      </c>
      <c r="C129" s="56">
        <f>SUM(D129:AD129)</f>
        <v>547</v>
      </c>
      <c r="D129" s="226"/>
      <c r="E129" s="219"/>
      <c r="F129" s="219"/>
      <c r="G129" s="219"/>
      <c r="H129" s="219"/>
      <c r="I129" s="219"/>
      <c r="J129" s="219">
        <v>42</v>
      </c>
      <c r="K129" s="219">
        <v>52</v>
      </c>
      <c r="L129" s="219">
        <v>52</v>
      </c>
      <c r="M129" s="219">
        <v>52</v>
      </c>
      <c r="N129" s="219">
        <v>52</v>
      </c>
      <c r="O129" s="219">
        <v>52</v>
      </c>
      <c r="P129" s="219">
        <v>65</v>
      </c>
      <c r="Q129" s="219">
        <v>65</v>
      </c>
      <c r="R129" s="219">
        <v>65</v>
      </c>
      <c r="S129" s="219">
        <v>50</v>
      </c>
      <c r="T129" s="219"/>
      <c r="U129" s="219"/>
      <c r="V129" s="219"/>
      <c r="W129" s="219"/>
      <c r="X129" s="219"/>
      <c r="Y129" s="219"/>
      <c r="Z129" s="219"/>
      <c r="AA129" s="219"/>
      <c r="AB129" s="219"/>
      <c r="AC129" s="219"/>
      <c r="AD129" s="219"/>
    </row>
    <row r="130" spans="1:30" ht="14.4" customHeight="1" outlineLevel="1">
      <c r="A130" s="214" t="s">
        <v>230</v>
      </c>
      <c r="B130" s="214" t="s">
        <v>156</v>
      </c>
      <c r="C130" s="56">
        <f>SUM(D130:AD130)</f>
        <v>60</v>
      </c>
      <c r="D130" s="226"/>
      <c r="E130" s="226"/>
      <c r="F130" s="226"/>
      <c r="G130" s="226"/>
      <c r="H130" s="226"/>
      <c r="I130" s="226"/>
      <c r="J130" s="226"/>
      <c r="K130" s="226">
        <v>3</v>
      </c>
      <c r="L130" s="226">
        <v>5</v>
      </c>
      <c r="M130" s="226">
        <f t="shared" ref="L130:P132" si="23">L130</f>
        <v>5</v>
      </c>
      <c r="N130" s="226">
        <f t="shared" si="23"/>
        <v>5</v>
      </c>
      <c r="O130" s="226">
        <f t="shared" si="23"/>
        <v>5</v>
      </c>
      <c r="P130" s="226">
        <f t="shared" si="23"/>
        <v>5</v>
      </c>
      <c r="Q130" s="226">
        <v>8</v>
      </c>
      <c r="R130" s="226">
        <f t="shared" ref="R130:T132" si="24">Q130</f>
        <v>8</v>
      </c>
      <c r="S130" s="226">
        <f t="shared" si="24"/>
        <v>8</v>
      </c>
      <c r="T130" s="226">
        <f t="shared" si="24"/>
        <v>8</v>
      </c>
      <c r="U130" s="226">
        <v>0</v>
      </c>
      <c r="V130" s="226">
        <v>0</v>
      </c>
      <c r="W130" s="226">
        <v>0</v>
      </c>
      <c r="X130" s="226">
        <v>0</v>
      </c>
      <c r="Y130" s="226">
        <v>0</v>
      </c>
      <c r="Z130" s="226"/>
      <c r="AA130" s="226"/>
      <c r="AB130" s="226"/>
      <c r="AC130" s="226"/>
      <c r="AD130" s="226"/>
    </row>
    <row r="131" spans="1:30" ht="14.4" customHeight="1" outlineLevel="1">
      <c r="A131" s="214" t="s">
        <v>97</v>
      </c>
      <c r="B131" s="214" t="s">
        <v>35</v>
      </c>
      <c r="C131" s="215">
        <f>C134/C130/1000</f>
        <v>8.8000000000000005E-3</v>
      </c>
      <c r="D131" s="216"/>
      <c r="E131" s="216"/>
      <c r="F131" s="216"/>
      <c r="G131" s="216"/>
      <c r="H131" s="216"/>
      <c r="I131" s="216"/>
      <c r="J131" s="216"/>
      <c r="K131" s="216">
        <v>8.8000000000000005E-3</v>
      </c>
      <c r="L131" s="216">
        <f t="shared" si="23"/>
        <v>8.8000000000000005E-3</v>
      </c>
      <c r="M131" s="216">
        <f t="shared" si="23"/>
        <v>8.8000000000000005E-3</v>
      </c>
      <c r="N131" s="216">
        <f t="shared" si="23"/>
        <v>8.8000000000000005E-3</v>
      </c>
      <c r="O131" s="216">
        <f t="shared" si="23"/>
        <v>8.8000000000000005E-3</v>
      </c>
      <c r="P131" s="216">
        <f t="shared" si="23"/>
        <v>8.8000000000000005E-3</v>
      </c>
      <c r="Q131" s="216">
        <f>P131</f>
        <v>8.8000000000000005E-3</v>
      </c>
      <c r="R131" s="216">
        <f t="shared" si="24"/>
        <v>8.8000000000000005E-3</v>
      </c>
      <c r="S131" s="216">
        <f t="shared" si="24"/>
        <v>8.8000000000000005E-3</v>
      </c>
      <c r="T131" s="216">
        <f t="shared" si="24"/>
        <v>8.8000000000000005E-3</v>
      </c>
      <c r="U131" s="253"/>
      <c r="V131" s="253"/>
      <c r="W131" s="253"/>
      <c r="X131" s="253"/>
      <c r="Y131" s="253"/>
      <c r="Z131" s="253"/>
      <c r="AA131" s="253"/>
      <c r="AB131" s="253"/>
      <c r="AC131" s="253"/>
      <c r="AD131" s="253"/>
    </row>
    <row r="132" spans="1:30" ht="14.4" customHeight="1" outlineLevel="1">
      <c r="A132" s="214" t="s">
        <v>216</v>
      </c>
      <c r="B132" s="214" t="s">
        <v>217</v>
      </c>
      <c r="C132" s="254">
        <f>SUMPRODUCT(D$117:AD$117*D132:AD132)/C$117</f>
        <v>6.2068965517241378E-2</v>
      </c>
      <c r="D132" s="255"/>
      <c r="E132" s="255"/>
      <c r="F132" s="255"/>
      <c r="G132" s="255"/>
      <c r="H132" s="255"/>
      <c r="I132" s="255"/>
      <c r="J132" s="255"/>
      <c r="K132" s="255">
        <v>0.18</v>
      </c>
      <c r="L132" s="255">
        <f t="shared" si="23"/>
        <v>0.18</v>
      </c>
      <c r="M132" s="255">
        <f t="shared" si="23"/>
        <v>0.18</v>
      </c>
      <c r="N132" s="255">
        <f t="shared" si="23"/>
        <v>0.18</v>
      </c>
      <c r="O132" s="255">
        <f t="shared" si="23"/>
        <v>0.18</v>
      </c>
      <c r="P132" s="255">
        <f t="shared" si="23"/>
        <v>0.18</v>
      </c>
      <c r="Q132" s="255">
        <f>P132</f>
        <v>0.18</v>
      </c>
      <c r="R132" s="255">
        <f t="shared" si="24"/>
        <v>0.18</v>
      </c>
      <c r="S132" s="255">
        <f t="shared" si="24"/>
        <v>0.18</v>
      </c>
      <c r="T132" s="255">
        <f t="shared" si="24"/>
        <v>0.18</v>
      </c>
      <c r="U132" s="255"/>
      <c r="V132" s="255"/>
      <c r="W132" s="255"/>
      <c r="X132" s="255"/>
      <c r="Y132" s="255"/>
      <c r="Z132" s="255"/>
      <c r="AA132" s="255"/>
      <c r="AB132" s="255"/>
      <c r="AC132" s="255"/>
      <c r="AD132" s="255"/>
    </row>
    <row r="133" spans="1:30" outlineLevel="1">
      <c r="A133" s="90"/>
      <c r="C133" s="89"/>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row>
    <row r="134" spans="1:30" outlineLevel="1">
      <c r="A134" s="13" t="s">
        <v>232</v>
      </c>
      <c r="B134" s="13" t="s">
        <v>38</v>
      </c>
      <c r="C134" s="44">
        <f>SUM(D134:AD134)</f>
        <v>528</v>
      </c>
      <c r="D134" s="42">
        <f t="shared" ref="D134:AD134" si="25">D130*D131*1000</f>
        <v>0</v>
      </c>
      <c r="E134" s="42">
        <f t="shared" si="25"/>
        <v>0</v>
      </c>
      <c r="F134" s="42">
        <f t="shared" si="25"/>
        <v>0</v>
      </c>
      <c r="G134" s="42">
        <f t="shared" si="25"/>
        <v>0</v>
      </c>
      <c r="H134" s="42">
        <f t="shared" si="25"/>
        <v>0</v>
      </c>
      <c r="I134" s="42">
        <f t="shared" si="25"/>
        <v>0</v>
      </c>
      <c r="J134" s="42">
        <f t="shared" si="25"/>
        <v>0</v>
      </c>
      <c r="K134" s="42">
        <f t="shared" si="25"/>
        <v>26.4</v>
      </c>
      <c r="L134" s="42">
        <f t="shared" si="25"/>
        <v>44.000000000000007</v>
      </c>
      <c r="M134" s="42">
        <f t="shared" si="25"/>
        <v>44.000000000000007</v>
      </c>
      <c r="N134" s="42">
        <f t="shared" si="25"/>
        <v>44.000000000000007</v>
      </c>
      <c r="O134" s="42">
        <f t="shared" si="25"/>
        <v>44.000000000000007</v>
      </c>
      <c r="P134" s="42">
        <f t="shared" si="25"/>
        <v>44.000000000000007</v>
      </c>
      <c r="Q134" s="42">
        <f t="shared" si="25"/>
        <v>70.400000000000006</v>
      </c>
      <c r="R134" s="42">
        <f t="shared" si="25"/>
        <v>70.400000000000006</v>
      </c>
      <c r="S134" s="42">
        <f t="shared" si="25"/>
        <v>70.400000000000006</v>
      </c>
      <c r="T134" s="42">
        <f t="shared" si="25"/>
        <v>70.400000000000006</v>
      </c>
      <c r="U134" s="42">
        <f t="shared" si="25"/>
        <v>0</v>
      </c>
      <c r="V134" s="42">
        <f t="shared" si="25"/>
        <v>0</v>
      </c>
      <c r="W134" s="42">
        <f t="shared" si="25"/>
        <v>0</v>
      </c>
      <c r="X134" s="42">
        <f t="shared" si="25"/>
        <v>0</v>
      </c>
      <c r="Y134" s="42">
        <f t="shared" si="25"/>
        <v>0</v>
      </c>
      <c r="Z134" s="42">
        <f t="shared" si="25"/>
        <v>0</v>
      </c>
      <c r="AA134" s="42">
        <f t="shared" si="25"/>
        <v>0</v>
      </c>
      <c r="AB134" s="42">
        <f t="shared" si="25"/>
        <v>0</v>
      </c>
      <c r="AC134" s="42">
        <f t="shared" si="25"/>
        <v>0</v>
      </c>
      <c r="AD134" s="42">
        <f t="shared" si="25"/>
        <v>0</v>
      </c>
    </row>
    <row r="135" spans="1:30" outlineLevel="1">
      <c r="A135" s="13" t="s">
        <v>246</v>
      </c>
      <c r="B135" s="13" t="s">
        <v>247</v>
      </c>
      <c r="C135" s="44">
        <f>SUM(D135:AD135)</f>
        <v>336.44859813084111</v>
      </c>
      <c r="D135" s="42">
        <f t="shared" ref="D135:AD135" si="26">D130*D132/32.1*1000</f>
        <v>0</v>
      </c>
      <c r="E135" s="42">
        <f t="shared" si="26"/>
        <v>0</v>
      </c>
      <c r="F135" s="42">
        <f t="shared" si="26"/>
        <v>0</v>
      </c>
      <c r="G135" s="42">
        <f t="shared" si="26"/>
        <v>0</v>
      </c>
      <c r="H135" s="42">
        <f t="shared" si="26"/>
        <v>0</v>
      </c>
      <c r="I135" s="42">
        <f t="shared" si="26"/>
        <v>0</v>
      </c>
      <c r="J135" s="42">
        <f t="shared" si="26"/>
        <v>0</v>
      </c>
      <c r="K135" s="42">
        <f t="shared" si="26"/>
        <v>16.822429906542055</v>
      </c>
      <c r="L135" s="42">
        <f t="shared" si="26"/>
        <v>28.037383177570089</v>
      </c>
      <c r="M135" s="42">
        <f t="shared" si="26"/>
        <v>28.037383177570089</v>
      </c>
      <c r="N135" s="42">
        <f t="shared" si="26"/>
        <v>28.037383177570089</v>
      </c>
      <c r="O135" s="42">
        <f t="shared" si="26"/>
        <v>28.037383177570089</v>
      </c>
      <c r="P135" s="42">
        <f t="shared" si="26"/>
        <v>28.037383177570089</v>
      </c>
      <c r="Q135" s="42">
        <f t="shared" si="26"/>
        <v>44.859813084112147</v>
      </c>
      <c r="R135" s="42">
        <f t="shared" si="26"/>
        <v>44.859813084112147</v>
      </c>
      <c r="S135" s="42">
        <f t="shared" si="26"/>
        <v>44.859813084112147</v>
      </c>
      <c r="T135" s="42">
        <f t="shared" si="26"/>
        <v>44.859813084112147</v>
      </c>
      <c r="U135" s="42">
        <f t="shared" si="26"/>
        <v>0</v>
      </c>
      <c r="V135" s="42">
        <f t="shared" si="26"/>
        <v>0</v>
      </c>
      <c r="W135" s="42">
        <f t="shared" si="26"/>
        <v>0</v>
      </c>
      <c r="X135" s="42">
        <f t="shared" si="26"/>
        <v>0</v>
      </c>
      <c r="Y135" s="42">
        <f t="shared" si="26"/>
        <v>0</v>
      </c>
      <c r="Z135" s="42">
        <f t="shared" si="26"/>
        <v>0</v>
      </c>
      <c r="AA135" s="42">
        <f t="shared" si="26"/>
        <v>0</v>
      </c>
      <c r="AB135" s="42">
        <f t="shared" si="26"/>
        <v>0</v>
      </c>
      <c r="AC135" s="42">
        <f t="shared" si="26"/>
        <v>0</v>
      </c>
      <c r="AD135" s="42">
        <f t="shared" si="26"/>
        <v>0</v>
      </c>
    </row>
    <row r="136" spans="1:30" outlineLevel="1">
      <c r="C136" s="44"/>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row>
    <row r="137" spans="1:30" outlineLevel="1">
      <c r="A137" s="31" t="s">
        <v>235</v>
      </c>
      <c r="C137" s="42"/>
      <c r="D137" s="13"/>
      <c r="E137" s="13"/>
      <c r="F137" s="13"/>
      <c r="G137" s="13"/>
      <c r="H137" s="13"/>
      <c r="I137" s="42"/>
      <c r="J137" s="42"/>
      <c r="K137" s="42"/>
      <c r="L137" s="42"/>
      <c r="M137" s="42"/>
      <c r="N137" s="42"/>
      <c r="O137" s="42"/>
      <c r="P137" s="42"/>
      <c r="Q137" s="42"/>
      <c r="R137" s="42"/>
      <c r="S137" s="42"/>
      <c r="T137" s="42"/>
      <c r="U137" s="42"/>
      <c r="V137" s="42"/>
      <c r="W137" s="42"/>
      <c r="X137" s="42"/>
      <c r="Y137" s="42"/>
      <c r="Z137" s="42"/>
      <c r="AA137" s="42"/>
      <c r="AB137" s="42"/>
      <c r="AC137" s="42"/>
      <c r="AD137" s="42"/>
    </row>
    <row r="138" spans="1:30" outlineLevel="1">
      <c r="A138" s="13" t="s">
        <v>236</v>
      </c>
      <c r="B138" s="13" t="s">
        <v>192</v>
      </c>
      <c r="C138" s="44">
        <f>SUM(D138:AD138)</f>
        <v>1039</v>
      </c>
      <c r="D138" s="42">
        <f t="shared" ref="D138:AD139" si="27">D116+D129</f>
        <v>0</v>
      </c>
      <c r="E138" s="42">
        <f t="shared" si="27"/>
        <v>37</v>
      </c>
      <c r="F138" s="42">
        <f t="shared" si="27"/>
        <v>37</v>
      </c>
      <c r="G138" s="42">
        <f t="shared" si="27"/>
        <v>35</v>
      </c>
      <c r="H138" s="42">
        <f t="shared" si="27"/>
        <v>60</v>
      </c>
      <c r="I138" s="42">
        <f t="shared" si="27"/>
        <v>60</v>
      </c>
      <c r="J138" s="42">
        <f t="shared" si="27"/>
        <v>90</v>
      </c>
      <c r="K138" s="42">
        <f t="shared" si="27"/>
        <v>90</v>
      </c>
      <c r="L138" s="42">
        <f t="shared" si="27"/>
        <v>90</v>
      </c>
      <c r="M138" s="42">
        <f t="shared" si="27"/>
        <v>90</v>
      </c>
      <c r="N138" s="42">
        <f t="shared" si="27"/>
        <v>90</v>
      </c>
      <c r="O138" s="42">
        <f t="shared" si="27"/>
        <v>90</v>
      </c>
      <c r="P138" s="42">
        <f t="shared" si="27"/>
        <v>90</v>
      </c>
      <c r="Q138" s="42">
        <f t="shared" si="27"/>
        <v>65</v>
      </c>
      <c r="R138" s="42">
        <f t="shared" si="27"/>
        <v>65</v>
      </c>
      <c r="S138" s="42">
        <f t="shared" si="27"/>
        <v>50</v>
      </c>
      <c r="T138" s="42">
        <f t="shared" si="27"/>
        <v>0</v>
      </c>
      <c r="U138" s="42">
        <f t="shared" si="27"/>
        <v>0</v>
      </c>
      <c r="V138" s="42">
        <f t="shared" si="27"/>
        <v>0</v>
      </c>
      <c r="W138" s="42">
        <f t="shared" si="27"/>
        <v>0</v>
      </c>
      <c r="X138" s="42">
        <f t="shared" si="27"/>
        <v>0</v>
      </c>
      <c r="Y138" s="42">
        <f t="shared" si="27"/>
        <v>0</v>
      </c>
      <c r="Z138" s="42">
        <f t="shared" si="27"/>
        <v>0</v>
      </c>
      <c r="AA138" s="42">
        <f t="shared" si="27"/>
        <v>0</v>
      </c>
      <c r="AB138" s="42">
        <f t="shared" si="27"/>
        <v>0</v>
      </c>
      <c r="AC138" s="42">
        <f t="shared" si="27"/>
        <v>0</v>
      </c>
      <c r="AD138" s="42">
        <f t="shared" si="27"/>
        <v>0</v>
      </c>
    </row>
    <row r="139" spans="1:30" outlineLevel="1">
      <c r="A139" s="13" t="s">
        <v>237</v>
      </c>
      <c r="B139" s="13" t="s">
        <v>192</v>
      </c>
      <c r="C139" s="44">
        <f>SUM(D139:AD139)</f>
        <v>118</v>
      </c>
      <c r="D139" s="42">
        <f t="shared" si="27"/>
        <v>0</v>
      </c>
      <c r="E139" s="42">
        <f t="shared" si="27"/>
        <v>0</v>
      </c>
      <c r="F139" s="42">
        <f t="shared" si="27"/>
        <v>6</v>
      </c>
      <c r="G139" s="42">
        <f t="shared" si="27"/>
        <v>8</v>
      </c>
      <c r="H139" s="42">
        <f t="shared" si="27"/>
        <v>8</v>
      </c>
      <c r="I139" s="42">
        <f t="shared" si="27"/>
        <v>8</v>
      </c>
      <c r="J139" s="42">
        <f t="shared" si="27"/>
        <v>8</v>
      </c>
      <c r="K139" s="42">
        <f t="shared" si="27"/>
        <v>8</v>
      </c>
      <c r="L139" s="42">
        <f t="shared" si="27"/>
        <v>8</v>
      </c>
      <c r="M139" s="42">
        <f t="shared" si="27"/>
        <v>8</v>
      </c>
      <c r="N139" s="42">
        <f t="shared" si="27"/>
        <v>8</v>
      </c>
      <c r="O139" s="42">
        <f t="shared" si="27"/>
        <v>8</v>
      </c>
      <c r="P139" s="42">
        <f t="shared" si="27"/>
        <v>8</v>
      </c>
      <c r="Q139" s="42">
        <f t="shared" si="27"/>
        <v>8</v>
      </c>
      <c r="R139" s="42">
        <f t="shared" si="27"/>
        <v>8</v>
      </c>
      <c r="S139" s="42">
        <f t="shared" si="27"/>
        <v>8</v>
      </c>
      <c r="T139" s="42">
        <f t="shared" si="27"/>
        <v>8</v>
      </c>
      <c r="U139" s="42">
        <f t="shared" si="27"/>
        <v>0</v>
      </c>
      <c r="V139" s="42">
        <f t="shared" si="27"/>
        <v>0</v>
      </c>
      <c r="W139" s="42">
        <f t="shared" si="27"/>
        <v>0</v>
      </c>
      <c r="X139" s="42">
        <f t="shared" si="27"/>
        <v>0</v>
      </c>
      <c r="Y139" s="42">
        <f t="shared" si="27"/>
        <v>0</v>
      </c>
      <c r="Z139" s="42">
        <f t="shared" si="27"/>
        <v>0</v>
      </c>
      <c r="AA139" s="42">
        <f t="shared" si="27"/>
        <v>0</v>
      </c>
      <c r="AB139" s="42">
        <f t="shared" si="27"/>
        <v>0</v>
      </c>
      <c r="AC139" s="42">
        <f t="shared" si="27"/>
        <v>0</v>
      </c>
      <c r="AD139" s="42">
        <f t="shared" si="27"/>
        <v>0</v>
      </c>
    </row>
    <row r="140" spans="1:30" outlineLevel="1">
      <c r="A140" s="13" t="s">
        <v>238</v>
      </c>
      <c r="B140" s="13" t="s">
        <v>38</v>
      </c>
      <c r="C140" s="44">
        <f>SUM(D140:AD140)</f>
        <v>1084.7999999999997</v>
      </c>
      <c r="D140" s="42">
        <f t="shared" ref="D140:AD140" si="28">D123+D134</f>
        <v>0</v>
      </c>
      <c r="E140" s="42">
        <f t="shared" si="28"/>
        <v>0</v>
      </c>
      <c r="F140" s="42">
        <f t="shared" si="28"/>
        <v>57.6</v>
      </c>
      <c r="G140" s="42">
        <f t="shared" si="28"/>
        <v>76.8</v>
      </c>
      <c r="H140" s="42">
        <f t="shared" si="28"/>
        <v>76.8</v>
      </c>
      <c r="I140" s="42">
        <f t="shared" si="28"/>
        <v>76.8</v>
      </c>
      <c r="J140" s="42">
        <f t="shared" si="28"/>
        <v>76.8</v>
      </c>
      <c r="K140" s="42">
        <f t="shared" si="28"/>
        <v>74.399999999999991</v>
      </c>
      <c r="L140" s="42">
        <f t="shared" si="28"/>
        <v>72.800000000000011</v>
      </c>
      <c r="M140" s="42">
        <f t="shared" si="28"/>
        <v>72.800000000000011</v>
      </c>
      <c r="N140" s="42">
        <f t="shared" si="28"/>
        <v>72.800000000000011</v>
      </c>
      <c r="O140" s="42">
        <f t="shared" si="28"/>
        <v>72.800000000000011</v>
      </c>
      <c r="P140" s="42">
        <f t="shared" si="28"/>
        <v>72.800000000000011</v>
      </c>
      <c r="Q140" s="42">
        <f t="shared" si="28"/>
        <v>70.400000000000006</v>
      </c>
      <c r="R140" s="42">
        <f t="shared" si="28"/>
        <v>70.400000000000006</v>
      </c>
      <c r="S140" s="42">
        <f t="shared" si="28"/>
        <v>70.400000000000006</v>
      </c>
      <c r="T140" s="42">
        <f t="shared" si="28"/>
        <v>70.400000000000006</v>
      </c>
      <c r="U140" s="42">
        <f t="shared" si="28"/>
        <v>0</v>
      </c>
      <c r="V140" s="42">
        <f t="shared" si="28"/>
        <v>0</v>
      </c>
      <c r="W140" s="42">
        <f t="shared" si="28"/>
        <v>0</v>
      </c>
      <c r="X140" s="42">
        <f t="shared" si="28"/>
        <v>0</v>
      </c>
      <c r="Y140" s="42">
        <f t="shared" si="28"/>
        <v>0</v>
      </c>
      <c r="Z140" s="42">
        <f t="shared" si="28"/>
        <v>0</v>
      </c>
      <c r="AA140" s="42">
        <f t="shared" si="28"/>
        <v>0</v>
      </c>
      <c r="AB140" s="42">
        <f t="shared" si="28"/>
        <v>0</v>
      </c>
      <c r="AC140" s="42">
        <f t="shared" si="28"/>
        <v>0</v>
      </c>
      <c r="AD140" s="42">
        <f t="shared" si="28"/>
        <v>0</v>
      </c>
    </row>
    <row r="141" spans="1:30" outlineLevel="1">
      <c r="C141" s="44"/>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row>
    <row r="142" spans="1:30" outlineLevel="1">
      <c r="A142" s="31" t="s">
        <v>39</v>
      </c>
      <c r="C142" s="42"/>
      <c r="D142" s="13"/>
      <c r="E142" s="13"/>
      <c r="F142" s="13"/>
      <c r="G142" s="13"/>
      <c r="H142" s="13"/>
      <c r="I142" s="42"/>
      <c r="J142" s="42"/>
      <c r="K142" s="42"/>
      <c r="L142" s="42"/>
      <c r="M142" s="42"/>
      <c r="N142" s="42"/>
      <c r="O142" s="42"/>
      <c r="P142" s="42"/>
      <c r="Q142" s="42"/>
      <c r="R142" s="42"/>
      <c r="S142" s="42"/>
      <c r="T142" s="42"/>
      <c r="U142" s="42"/>
      <c r="V142" s="42"/>
      <c r="W142" s="42"/>
      <c r="X142" s="42"/>
      <c r="Y142" s="42"/>
      <c r="Z142" s="42"/>
      <c r="AA142" s="42"/>
      <c r="AB142" s="42"/>
      <c r="AC142" s="42"/>
      <c r="AD142" s="42"/>
    </row>
    <row r="143" spans="1:30" outlineLevel="1">
      <c r="A143" s="134" t="s">
        <v>545</v>
      </c>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row>
    <row r="144" spans="1:30" ht="14.4" customHeight="1" outlineLevel="1">
      <c r="A144" s="214" t="s">
        <v>39</v>
      </c>
      <c r="B144" s="214" t="s">
        <v>8</v>
      </c>
      <c r="C144" s="254">
        <f>SUMPRODUCT(D$117:AD$117*D144:AD144)/C$117</f>
        <v>6</v>
      </c>
      <c r="D144" s="255"/>
      <c r="E144" s="255"/>
      <c r="F144" s="257">
        <v>6</v>
      </c>
      <c r="G144" s="257">
        <f t="shared" ref="G144:T144" si="29">F144</f>
        <v>6</v>
      </c>
      <c r="H144" s="257">
        <f t="shared" si="29"/>
        <v>6</v>
      </c>
      <c r="I144" s="257">
        <f t="shared" si="29"/>
        <v>6</v>
      </c>
      <c r="J144" s="257">
        <f t="shared" si="29"/>
        <v>6</v>
      </c>
      <c r="K144" s="257">
        <f t="shared" si="29"/>
        <v>6</v>
      </c>
      <c r="L144" s="257">
        <f t="shared" si="29"/>
        <v>6</v>
      </c>
      <c r="M144" s="257">
        <f t="shared" si="29"/>
        <v>6</v>
      </c>
      <c r="N144" s="257">
        <f t="shared" si="29"/>
        <v>6</v>
      </c>
      <c r="O144" s="257">
        <f t="shared" si="29"/>
        <v>6</v>
      </c>
      <c r="P144" s="257">
        <f t="shared" si="29"/>
        <v>6</v>
      </c>
      <c r="Q144" s="257">
        <f t="shared" si="29"/>
        <v>6</v>
      </c>
      <c r="R144" s="257">
        <f t="shared" si="29"/>
        <v>6</v>
      </c>
      <c r="S144" s="257">
        <f t="shared" si="29"/>
        <v>6</v>
      </c>
      <c r="T144" s="257">
        <f t="shared" si="29"/>
        <v>6</v>
      </c>
      <c r="U144" s="257"/>
      <c r="V144" s="257"/>
      <c r="W144" s="257"/>
      <c r="X144" s="257"/>
      <c r="Y144" s="257"/>
      <c r="Z144" s="257"/>
      <c r="AA144" s="257"/>
      <c r="AB144" s="257"/>
      <c r="AC144" s="257"/>
      <c r="AD144" s="257"/>
    </row>
    <row r="145" spans="1:30" outlineLevel="1">
      <c r="A145" s="13" t="s">
        <v>239</v>
      </c>
      <c r="B145" s="13" t="s">
        <v>192</v>
      </c>
      <c r="C145" s="44"/>
      <c r="D145" s="56">
        <f t="shared" ref="D145:AC145" si="30">IF(D117=0,0,E117/52*D144)</f>
        <v>0</v>
      </c>
      <c r="E145" s="56">
        <f t="shared" si="30"/>
        <v>0</v>
      </c>
      <c r="F145" s="56">
        <f t="shared" si="30"/>
        <v>0.92307692307692313</v>
      </c>
      <c r="G145" s="56">
        <f t="shared" si="30"/>
        <v>0.92307692307692313</v>
      </c>
      <c r="H145" s="56">
        <f t="shared" si="30"/>
        <v>0.92307692307692313</v>
      </c>
      <c r="I145" s="56">
        <f t="shared" si="30"/>
        <v>0.92307692307692313</v>
      </c>
      <c r="J145" s="56">
        <f t="shared" si="30"/>
        <v>0.57692307692307698</v>
      </c>
      <c r="K145" s="56">
        <f t="shared" si="30"/>
        <v>0.34615384615384615</v>
      </c>
      <c r="L145" s="56">
        <f t="shared" si="30"/>
        <v>0.34615384615384615</v>
      </c>
      <c r="M145" s="56">
        <f t="shared" si="30"/>
        <v>0.34615384615384615</v>
      </c>
      <c r="N145" s="56">
        <f t="shared" si="30"/>
        <v>0.34615384615384615</v>
      </c>
      <c r="O145" s="56">
        <f t="shared" si="30"/>
        <v>0.34615384615384615</v>
      </c>
      <c r="P145" s="56">
        <f t="shared" si="30"/>
        <v>0</v>
      </c>
      <c r="Q145" s="56">
        <f t="shared" si="30"/>
        <v>0</v>
      </c>
      <c r="R145" s="56">
        <f t="shared" si="30"/>
        <v>0</v>
      </c>
      <c r="S145" s="56">
        <f t="shared" si="30"/>
        <v>0</v>
      </c>
      <c r="T145" s="56">
        <f t="shared" si="30"/>
        <v>0</v>
      </c>
      <c r="U145" s="56">
        <f t="shared" si="30"/>
        <v>0</v>
      </c>
      <c r="V145" s="56">
        <f t="shared" si="30"/>
        <v>0</v>
      </c>
      <c r="W145" s="56">
        <f t="shared" si="30"/>
        <v>0</v>
      </c>
      <c r="X145" s="56">
        <f t="shared" si="30"/>
        <v>0</v>
      </c>
      <c r="Y145" s="56">
        <f t="shared" si="30"/>
        <v>0</v>
      </c>
      <c r="Z145" s="56">
        <f t="shared" si="30"/>
        <v>0</v>
      </c>
      <c r="AA145" s="56">
        <f t="shared" si="30"/>
        <v>0</v>
      </c>
      <c r="AB145" s="56">
        <f t="shared" si="30"/>
        <v>0</v>
      </c>
      <c r="AC145" s="56">
        <f t="shared" si="30"/>
        <v>0</v>
      </c>
      <c r="AD145" s="56">
        <f>IF(AD117=0,0,#REF!/52*AD144)</f>
        <v>0</v>
      </c>
    </row>
    <row r="146" spans="1:30" outlineLevel="1">
      <c r="A146" s="13" t="s">
        <v>240</v>
      </c>
      <c r="B146" s="13" t="s">
        <v>192</v>
      </c>
      <c r="C146" s="44"/>
      <c r="D146" s="56">
        <f t="shared" ref="D146:AC146" si="31">IF(D130=0,0,E130/52*D144)</f>
        <v>0</v>
      </c>
      <c r="E146" s="56">
        <f t="shared" si="31"/>
        <v>0</v>
      </c>
      <c r="F146" s="56">
        <f t="shared" si="31"/>
        <v>0</v>
      </c>
      <c r="G146" s="56">
        <f t="shared" si="31"/>
        <v>0</v>
      </c>
      <c r="H146" s="56">
        <f t="shared" si="31"/>
        <v>0</v>
      </c>
      <c r="I146" s="56">
        <f t="shared" si="31"/>
        <v>0</v>
      </c>
      <c r="J146" s="56">
        <f t="shared" si="31"/>
        <v>0</v>
      </c>
      <c r="K146" s="56">
        <f t="shared" si="31"/>
        <v>0.57692307692307698</v>
      </c>
      <c r="L146" s="56">
        <f t="shared" si="31"/>
        <v>0.57692307692307698</v>
      </c>
      <c r="M146" s="56">
        <f t="shared" si="31"/>
        <v>0.57692307692307698</v>
      </c>
      <c r="N146" s="56">
        <f t="shared" si="31"/>
        <v>0.57692307692307698</v>
      </c>
      <c r="O146" s="56">
        <f t="shared" si="31"/>
        <v>0.57692307692307698</v>
      </c>
      <c r="P146" s="56">
        <f t="shared" si="31"/>
        <v>0.92307692307692313</v>
      </c>
      <c r="Q146" s="56">
        <f t="shared" si="31"/>
        <v>0.92307692307692313</v>
      </c>
      <c r="R146" s="56">
        <f t="shared" si="31"/>
        <v>0.92307692307692313</v>
      </c>
      <c r="S146" s="56">
        <f t="shared" si="31"/>
        <v>0.92307692307692313</v>
      </c>
      <c r="T146" s="56">
        <f t="shared" si="31"/>
        <v>0</v>
      </c>
      <c r="U146" s="56">
        <f t="shared" si="31"/>
        <v>0</v>
      </c>
      <c r="V146" s="56">
        <f t="shared" si="31"/>
        <v>0</v>
      </c>
      <c r="W146" s="56">
        <f t="shared" si="31"/>
        <v>0</v>
      </c>
      <c r="X146" s="56">
        <f t="shared" si="31"/>
        <v>0</v>
      </c>
      <c r="Y146" s="56">
        <f t="shared" si="31"/>
        <v>0</v>
      </c>
      <c r="Z146" s="56">
        <f t="shared" si="31"/>
        <v>0</v>
      </c>
      <c r="AA146" s="56">
        <f t="shared" si="31"/>
        <v>0</v>
      </c>
      <c r="AB146" s="56">
        <f t="shared" si="31"/>
        <v>0</v>
      </c>
      <c r="AC146" s="56">
        <f t="shared" si="31"/>
        <v>0</v>
      </c>
      <c r="AD146" s="56">
        <f>IF(AD130=0,0,#REF!/52*AD144)</f>
        <v>0</v>
      </c>
    </row>
    <row r="147" spans="1:30" outlineLevel="1">
      <c r="A147" s="90"/>
      <c r="C147" s="88"/>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row>
    <row r="148" spans="1:30" ht="51" customHeight="1">
      <c r="A148" s="23" t="s">
        <v>195</v>
      </c>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row>
    <row r="149" spans="1:30" s="8" customFormat="1" ht="15.5" outlineLevel="1">
      <c r="A149" s="242" t="str">
        <f>'Expected NPV &amp; Common Data'!A$36</f>
        <v>Calendar Year --&gt;</v>
      </c>
      <c r="B149" s="243" t="str">
        <f>'Expected NPV &amp; Common Data'!B$36</f>
        <v>units</v>
      </c>
      <c r="C149" s="244" t="str">
        <f>'Expected NPV &amp; Common Data'!C$36</f>
        <v>Total</v>
      </c>
      <c r="D149" s="245">
        <f>'Expected NPV &amp; Common Data'!D$36</f>
        <v>2027</v>
      </c>
      <c r="E149" s="245">
        <f>'Expected NPV &amp; Common Data'!E$36</f>
        <v>2028</v>
      </c>
      <c r="F149" s="245">
        <f>'Expected NPV &amp; Common Data'!F$36</f>
        <v>2029</v>
      </c>
      <c r="G149" s="245">
        <f>'Expected NPV &amp; Common Data'!G$36</f>
        <v>2030</v>
      </c>
      <c r="H149" s="245">
        <f>'Expected NPV &amp; Common Data'!H$36</f>
        <v>2031</v>
      </c>
      <c r="I149" s="245">
        <f>'Expected NPV &amp; Common Data'!I$36</f>
        <v>2032</v>
      </c>
      <c r="J149" s="245">
        <f>'Expected NPV &amp; Common Data'!J$36</f>
        <v>2033</v>
      </c>
      <c r="K149" s="245">
        <f>'Expected NPV &amp; Common Data'!K$36</f>
        <v>2034</v>
      </c>
      <c r="L149" s="245">
        <f>'Expected NPV &amp; Common Data'!L$36</f>
        <v>2035</v>
      </c>
      <c r="M149" s="245">
        <f>'Expected NPV &amp; Common Data'!M$36</f>
        <v>2036</v>
      </c>
      <c r="N149" s="245">
        <f>'Expected NPV &amp; Common Data'!N$36</f>
        <v>2037</v>
      </c>
      <c r="O149" s="245">
        <f>'Expected NPV &amp; Common Data'!O$36</f>
        <v>2038</v>
      </c>
      <c r="P149" s="245">
        <f>'Expected NPV &amp; Common Data'!P$36</f>
        <v>2039</v>
      </c>
      <c r="Q149" s="245">
        <f>'Expected NPV &amp; Common Data'!Q$36</f>
        <v>2040</v>
      </c>
      <c r="R149" s="245">
        <f>'Expected NPV &amp; Common Data'!R$36</f>
        <v>2041</v>
      </c>
      <c r="S149" s="245">
        <f>'Expected NPV &amp; Common Data'!S$36</f>
        <v>2042</v>
      </c>
      <c r="T149" s="245">
        <f>'Expected NPV &amp; Common Data'!T$36</f>
        <v>2043</v>
      </c>
      <c r="U149" s="245">
        <f>'Expected NPV &amp; Common Data'!U$36</f>
        <v>2044</v>
      </c>
      <c r="V149" s="245">
        <f>'Expected NPV &amp; Common Data'!V$36</f>
        <v>2045</v>
      </c>
      <c r="W149" s="245">
        <f>'Expected NPV &amp; Common Data'!W$36</f>
        <v>2046</v>
      </c>
      <c r="X149" s="245">
        <f>'Expected NPV &amp; Common Data'!X$36</f>
        <v>2047</v>
      </c>
      <c r="Y149" s="245">
        <f>'Expected NPV &amp; Common Data'!Y$36</f>
        <v>2048</v>
      </c>
      <c r="Z149" s="245">
        <f>'Expected NPV &amp; Common Data'!Z$36</f>
        <v>2049</v>
      </c>
      <c r="AA149" s="245">
        <f>'Expected NPV &amp; Common Data'!AA$36</f>
        <v>2050</v>
      </c>
      <c r="AB149" s="245">
        <f>'Expected NPV &amp; Common Data'!AB$36</f>
        <v>2051</v>
      </c>
      <c r="AC149" s="245">
        <f>'Expected NPV &amp; Common Data'!AC$36</f>
        <v>2052</v>
      </c>
      <c r="AD149" s="245">
        <f>'Expected NPV &amp; Common Data'!AD$36</f>
        <v>2053</v>
      </c>
    </row>
    <row r="150" spans="1:30" outlineLevel="1">
      <c r="A150" s="134" t="s">
        <v>546</v>
      </c>
      <c r="C150" s="44"/>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row>
    <row r="151" spans="1:30" outlineLevel="1">
      <c r="A151" s="31" t="s">
        <v>244</v>
      </c>
      <c r="C151" s="42"/>
      <c r="D151" s="13"/>
      <c r="E151" s="13"/>
      <c r="F151" s="13"/>
      <c r="G151" s="13"/>
      <c r="H151" s="13"/>
      <c r="I151" s="42"/>
      <c r="J151" s="42"/>
      <c r="K151" s="42"/>
      <c r="L151" s="42"/>
      <c r="M151" s="42"/>
      <c r="N151" s="42"/>
      <c r="O151" s="42"/>
      <c r="P151" s="42"/>
      <c r="Q151" s="42"/>
      <c r="R151" s="42"/>
      <c r="S151" s="42"/>
      <c r="T151" s="42"/>
      <c r="U151" s="42"/>
      <c r="V151" s="42"/>
      <c r="W151" s="42"/>
      <c r="X151" s="42"/>
      <c r="Y151" s="42"/>
      <c r="Z151" s="42"/>
      <c r="AA151" s="42"/>
      <c r="AB151" s="42"/>
      <c r="AC151" s="42"/>
      <c r="AD151" s="42"/>
    </row>
    <row r="152" spans="1:30" outlineLevel="1">
      <c r="A152" s="13" t="s">
        <v>242</v>
      </c>
      <c r="B152" s="13" t="s">
        <v>192</v>
      </c>
      <c r="C152" s="44">
        <f>SUM(D152:AD152)</f>
        <v>58</v>
      </c>
      <c r="D152" s="42"/>
      <c r="E152" s="42"/>
      <c r="F152" s="56">
        <f t="shared" ref="F152:AD152" si="32">E145+F117-F145</f>
        <v>5.0769230769230766</v>
      </c>
      <c r="G152" s="56">
        <f t="shared" si="32"/>
        <v>8</v>
      </c>
      <c r="H152" s="56">
        <f t="shared" si="32"/>
        <v>8</v>
      </c>
      <c r="I152" s="56">
        <f t="shared" si="32"/>
        <v>8</v>
      </c>
      <c r="J152" s="56">
        <f t="shared" si="32"/>
        <v>8.3461538461538467</v>
      </c>
      <c r="K152" s="56">
        <f t="shared" si="32"/>
        <v>5.2307692307692308</v>
      </c>
      <c r="L152" s="56">
        <f t="shared" si="32"/>
        <v>3</v>
      </c>
      <c r="M152" s="56">
        <f t="shared" si="32"/>
        <v>3</v>
      </c>
      <c r="N152" s="56">
        <f t="shared" si="32"/>
        <v>3</v>
      </c>
      <c r="O152" s="56">
        <f t="shared" si="32"/>
        <v>3</v>
      </c>
      <c r="P152" s="56">
        <f t="shared" si="32"/>
        <v>3.3461538461538463</v>
      </c>
      <c r="Q152" s="56">
        <f t="shared" si="32"/>
        <v>0</v>
      </c>
      <c r="R152" s="56">
        <f t="shared" si="32"/>
        <v>0</v>
      </c>
      <c r="S152" s="56">
        <f t="shared" si="32"/>
        <v>0</v>
      </c>
      <c r="T152" s="56">
        <f t="shared" si="32"/>
        <v>0</v>
      </c>
      <c r="U152" s="56">
        <f t="shared" si="32"/>
        <v>0</v>
      </c>
      <c r="V152" s="56">
        <f t="shared" si="32"/>
        <v>0</v>
      </c>
      <c r="W152" s="56">
        <f t="shared" si="32"/>
        <v>0</v>
      </c>
      <c r="X152" s="56">
        <f t="shared" si="32"/>
        <v>0</v>
      </c>
      <c r="Y152" s="56">
        <f t="shared" si="32"/>
        <v>0</v>
      </c>
      <c r="Z152" s="56">
        <f t="shared" si="32"/>
        <v>0</v>
      </c>
      <c r="AA152" s="56">
        <f t="shared" si="32"/>
        <v>0</v>
      </c>
      <c r="AB152" s="56">
        <f t="shared" si="32"/>
        <v>0</v>
      </c>
      <c r="AC152" s="56">
        <f t="shared" si="32"/>
        <v>0</v>
      </c>
      <c r="AD152" s="56">
        <f t="shared" si="32"/>
        <v>0</v>
      </c>
    </row>
    <row r="153" spans="1:30" outlineLevel="1">
      <c r="A153" s="13" t="s">
        <v>243</v>
      </c>
      <c r="B153" s="13" t="s">
        <v>192</v>
      </c>
      <c r="C153" s="44">
        <f>SUM(D153:AD153)</f>
        <v>60</v>
      </c>
      <c r="D153" s="42"/>
      <c r="E153" s="42"/>
      <c r="F153" s="56">
        <f t="shared" ref="F153:AD153" si="33">E146+F130-F146</f>
        <v>0</v>
      </c>
      <c r="G153" s="56">
        <f t="shared" si="33"/>
        <v>0</v>
      </c>
      <c r="H153" s="56">
        <f t="shared" si="33"/>
        <v>0</v>
      </c>
      <c r="I153" s="56">
        <f t="shared" si="33"/>
        <v>0</v>
      </c>
      <c r="J153" s="56">
        <f t="shared" si="33"/>
        <v>0</v>
      </c>
      <c r="K153" s="56">
        <f t="shared" si="33"/>
        <v>2.4230769230769229</v>
      </c>
      <c r="L153" s="56">
        <f t="shared" si="33"/>
        <v>5</v>
      </c>
      <c r="M153" s="56">
        <f t="shared" si="33"/>
        <v>5</v>
      </c>
      <c r="N153" s="56">
        <f t="shared" si="33"/>
        <v>5</v>
      </c>
      <c r="O153" s="56">
        <f t="shared" si="33"/>
        <v>5</v>
      </c>
      <c r="P153" s="56">
        <f t="shared" si="33"/>
        <v>4.6538461538461533</v>
      </c>
      <c r="Q153" s="56">
        <f t="shared" si="33"/>
        <v>8</v>
      </c>
      <c r="R153" s="56">
        <f t="shared" si="33"/>
        <v>8</v>
      </c>
      <c r="S153" s="56">
        <f t="shared" si="33"/>
        <v>8</v>
      </c>
      <c r="T153" s="56">
        <f t="shared" si="33"/>
        <v>8.9230769230769234</v>
      </c>
      <c r="U153" s="56">
        <f t="shared" si="33"/>
        <v>0</v>
      </c>
      <c r="V153" s="56">
        <f t="shared" si="33"/>
        <v>0</v>
      </c>
      <c r="W153" s="56">
        <f t="shared" si="33"/>
        <v>0</v>
      </c>
      <c r="X153" s="56">
        <f t="shared" si="33"/>
        <v>0</v>
      </c>
      <c r="Y153" s="56">
        <f t="shared" si="33"/>
        <v>0</v>
      </c>
      <c r="Z153" s="56">
        <f t="shared" si="33"/>
        <v>0</v>
      </c>
      <c r="AA153" s="56">
        <f t="shared" si="33"/>
        <v>0</v>
      </c>
      <c r="AB153" s="56">
        <f t="shared" si="33"/>
        <v>0</v>
      </c>
      <c r="AC153" s="56">
        <f t="shared" si="33"/>
        <v>0</v>
      </c>
      <c r="AD153" s="56">
        <f t="shared" si="33"/>
        <v>0</v>
      </c>
    </row>
    <row r="154" spans="1:30" outlineLevel="1">
      <c r="A154" s="13" t="s">
        <v>241</v>
      </c>
      <c r="B154" s="13" t="s">
        <v>192</v>
      </c>
      <c r="C154" s="44">
        <f>SUM(D154:AD154)</f>
        <v>117.99999999999999</v>
      </c>
      <c r="D154" s="70"/>
      <c r="E154" s="70"/>
      <c r="F154" s="101">
        <f t="shared" ref="F154:AD154" si="34">F152+F153</f>
        <v>5.0769230769230766</v>
      </c>
      <c r="G154" s="101">
        <f t="shared" si="34"/>
        <v>8</v>
      </c>
      <c r="H154" s="101">
        <f t="shared" si="34"/>
        <v>8</v>
      </c>
      <c r="I154" s="101">
        <f t="shared" si="34"/>
        <v>8</v>
      </c>
      <c r="J154" s="101">
        <f t="shared" si="34"/>
        <v>8.3461538461538467</v>
      </c>
      <c r="K154" s="101">
        <f t="shared" si="34"/>
        <v>7.6538461538461533</v>
      </c>
      <c r="L154" s="101">
        <f t="shared" si="34"/>
        <v>8</v>
      </c>
      <c r="M154" s="101">
        <f t="shared" si="34"/>
        <v>8</v>
      </c>
      <c r="N154" s="101">
        <f t="shared" si="34"/>
        <v>8</v>
      </c>
      <c r="O154" s="101">
        <f t="shared" si="34"/>
        <v>8</v>
      </c>
      <c r="P154" s="101">
        <f t="shared" si="34"/>
        <v>8</v>
      </c>
      <c r="Q154" s="101">
        <f t="shared" si="34"/>
        <v>8</v>
      </c>
      <c r="R154" s="101">
        <f t="shared" si="34"/>
        <v>8</v>
      </c>
      <c r="S154" s="101">
        <f t="shared" si="34"/>
        <v>8</v>
      </c>
      <c r="T154" s="101">
        <f t="shared" si="34"/>
        <v>8.9230769230769234</v>
      </c>
      <c r="U154" s="101">
        <f t="shared" si="34"/>
        <v>0</v>
      </c>
      <c r="V154" s="101">
        <f t="shared" si="34"/>
        <v>0</v>
      </c>
      <c r="W154" s="101">
        <f t="shared" si="34"/>
        <v>0</v>
      </c>
      <c r="X154" s="101">
        <f t="shared" si="34"/>
        <v>0</v>
      </c>
      <c r="Y154" s="101">
        <f t="shared" si="34"/>
        <v>0</v>
      </c>
      <c r="Z154" s="101">
        <f t="shared" si="34"/>
        <v>0</v>
      </c>
      <c r="AA154" s="101">
        <f t="shared" si="34"/>
        <v>0</v>
      </c>
      <c r="AB154" s="101">
        <f t="shared" si="34"/>
        <v>0</v>
      </c>
      <c r="AC154" s="101">
        <f t="shared" si="34"/>
        <v>0</v>
      </c>
      <c r="AD154" s="101">
        <f t="shared" si="34"/>
        <v>0</v>
      </c>
    </row>
    <row r="155" spans="1:30" outlineLevel="1">
      <c r="C155" s="44"/>
      <c r="D155" s="42"/>
      <c r="E155" s="42"/>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row>
    <row r="156" spans="1:30" outlineLevel="1">
      <c r="A156" s="13" t="s">
        <v>249</v>
      </c>
      <c r="B156" s="13" t="s">
        <v>35</v>
      </c>
      <c r="C156" s="46">
        <f t="shared" ref="C156:AD156" si="35">IF(C154=0,0,(C152*C118+C153*C131)/C154)</f>
        <v>9.1932203389830519E-3</v>
      </c>
      <c r="D156" s="46">
        <f t="shared" si="35"/>
        <v>0</v>
      </c>
      <c r="E156" s="46">
        <f t="shared" si="35"/>
        <v>0</v>
      </c>
      <c r="F156" s="46">
        <f t="shared" si="35"/>
        <v>9.5999999999999992E-3</v>
      </c>
      <c r="G156" s="46">
        <f t="shared" si="35"/>
        <v>9.5999999999999992E-3</v>
      </c>
      <c r="H156" s="46">
        <f t="shared" si="35"/>
        <v>9.5999999999999992E-3</v>
      </c>
      <c r="I156" s="46">
        <f t="shared" si="35"/>
        <v>9.5999999999999992E-3</v>
      </c>
      <c r="J156" s="46">
        <f t="shared" si="35"/>
        <v>9.5999999999999992E-3</v>
      </c>
      <c r="K156" s="46">
        <f t="shared" si="35"/>
        <v>9.3467336683417095E-3</v>
      </c>
      <c r="L156" s="46">
        <f t="shared" si="35"/>
        <v>9.1000000000000004E-3</v>
      </c>
      <c r="M156" s="46">
        <f t="shared" si="35"/>
        <v>9.1000000000000004E-3</v>
      </c>
      <c r="N156" s="46">
        <f t="shared" si="35"/>
        <v>9.1000000000000004E-3</v>
      </c>
      <c r="O156" s="46">
        <f t="shared" si="35"/>
        <v>9.1000000000000004E-3</v>
      </c>
      <c r="P156" s="46">
        <f t="shared" si="35"/>
        <v>9.1346153846153834E-3</v>
      </c>
      <c r="Q156" s="46">
        <f t="shared" si="35"/>
        <v>8.8000000000000005E-3</v>
      </c>
      <c r="R156" s="46">
        <f t="shared" si="35"/>
        <v>8.8000000000000005E-3</v>
      </c>
      <c r="S156" s="46">
        <f t="shared" si="35"/>
        <v>8.8000000000000005E-3</v>
      </c>
      <c r="T156" s="46">
        <f t="shared" si="35"/>
        <v>8.8000000000000005E-3</v>
      </c>
      <c r="U156" s="46">
        <f t="shared" si="35"/>
        <v>0</v>
      </c>
      <c r="V156" s="46">
        <f t="shared" si="35"/>
        <v>0</v>
      </c>
      <c r="W156" s="46">
        <f t="shared" si="35"/>
        <v>0</v>
      </c>
      <c r="X156" s="46">
        <f t="shared" si="35"/>
        <v>0</v>
      </c>
      <c r="Y156" s="46">
        <f t="shared" si="35"/>
        <v>0</v>
      </c>
      <c r="Z156" s="46">
        <f t="shared" si="35"/>
        <v>0</v>
      </c>
      <c r="AA156" s="46">
        <f t="shared" si="35"/>
        <v>0</v>
      </c>
      <c r="AB156" s="46">
        <f t="shared" si="35"/>
        <v>0</v>
      </c>
      <c r="AC156" s="46">
        <f t="shared" si="35"/>
        <v>0</v>
      </c>
      <c r="AD156" s="46">
        <f t="shared" si="35"/>
        <v>0</v>
      </c>
    </row>
    <row r="157" spans="1:30" outlineLevel="1">
      <c r="A157" s="13" t="s">
        <v>250</v>
      </c>
      <c r="B157" s="13" t="s">
        <v>217</v>
      </c>
      <c r="C157" s="56">
        <f t="shared" ref="C157:AD157" si="36">IF(C154=0,0,(C119*C152+C132*C153)/C154)</f>
        <v>0.13969608416130919</v>
      </c>
      <c r="D157" s="56">
        <f t="shared" si="36"/>
        <v>0</v>
      </c>
      <c r="E157" s="56">
        <f t="shared" si="36"/>
        <v>0</v>
      </c>
      <c r="F157" s="56">
        <f t="shared" si="36"/>
        <v>0.22</v>
      </c>
      <c r="G157" s="56">
        <f t="shared" si="36"/>
        <v>0.22</v>
      </c>
      <c r="H157" s="56">
        <f t="shared" si="36"/>
        <v>0.22</v>
      </c>
      <c r="I157" s="56">
        <f t="shared" si="36"/>
        <v>0.22</v>
      </c>
      <c r="J157" s="56">
        <f t="shared" si="36"/>
        <v>0.22</v>
      </c>
      <c r="K157" s="56">
        <f t="shared" si="36"/>
        <v>0.20733668341708544</v>
      </c>
      <c r="L157" s="56">
        <f t="shared" si="36"/>
        <v>0.19500000000000001</v>
      </c>
      <c r="M157" s="56">
        <f t="shared" si="36"/>
        <v>0.19500000000000001</v>
      </c>
      <c r="N157" s="56">
        <f t="shared" si="36"/>
        <v>0.19500000000000001</v>
      </c>
      <c r="O157" s="56">
        <f t="shared" si="36"/>
        <v>0.19500000000000001</v>
      </c>
      <c r="P157" s="56">
        <f t="shared" si="36"/>
        <v>0.19673076923076921</v>
      </c>
      <c r="Q157" s="56">
        <f t="shared" si="36"/>
        <v>0.18</v>
      </c>
      <c r="R157" s="56">
        <f t="shared" si="36"/>
        <v>0.18</v>
      </c>
      <c r="S157" s="56">
        <f t="shared" si="36"/>
        <v>0.18</v>
      </c>
      <c r="T157" s="56">
        <f t="shared" si="36"/>
        <v>0.18</v>
      </c>
      <c r="U157" s="56">
        <f t="shared" si="36"/>
        <v>0</v>
      </c>
      <c r="V157" s="56">
        <f t="shared" si="36"/>
        <v>0</v>
      </c>
      <c r="W157" s="56">
        <f t="shared" si="36"/>
        <v>0</v>
      </c>
      <c r="X157" s="56">
        <f t="shared" si="36"/>
        <v>0</v>
      </c>
      <c r="Y157" s="56">
        <f t="shared" si="36"/>
        <v>0</v>
      </c>
      <c r="Z157" s="56">
        <f t="shared" si="36"/>
        <v>0</v>
      </c>
      <c r="AA157" s="56">
        <f t="shared" si="36"/>
        <v>0</v>
      </c>
      <c r="AB157" s="56">
        <f t="shared" si="36"/>
        <v>0</v>
      </c>
      <c r="AC157" s="56">
        <f t="shared" si="36"/>
        <v>0</v>
      </c>
      <c r="AD157" s="56">
        <f t="shared" si="36"/>
        <v>0</v>
      </c>
    </row>
    <row r="158" spans="1:30" outlineLevel="1">
      <c r="A158" s="13" t="s">
        <v>251</v>
      </c>
      <c r="B158" s="13" t="s">
        <v>253</v>
      </c>
      <c r="C158" s="56">
        <f t="shared" ref="C158:AD158" si="37">IF(C154=0,0,C120*C152/C154)</f>
        <v>0.98305084745762727</v>
      </c>
      <c r="D158" s="56">
        <f t="shared" si="37"/>
        <v>0</v>
      </c>
      <c r="E158" s="56">
        <f t="shared" si="37"/>
        <v>0</v>
      </c>
      <c r="F158" s="56">
        <f t="shared" si="37"/>
        <v>2</v>
      </c>
      <c r="G158" s="56">
        <f t="shared" si="37"/>
        <v>2</v>
      </c>
      <c r="H158" s="56">
        <f t="shared" si="37"/>
        <v>2</v>
      </c>
      <c r="I158" s="56">
        <f t="shared" si="37"/>
        <v>2</v>
      </c>
      <c r="J158" s="56">
        <f t="shared" si="37"/>
        <v>2</v>
      </c>
      <c r="K158" s="56">
        <f t="shared" si="37"/>
        <v>1.3668341708542715</v>
      </c>
      <c r="L158" s="56">
        <f t="shared" si="37"/>
        <v>0.75</v>
      </c>
      <c r="M158" s="56">
        <f t="shared" si="37"/>
        <v>0.75</v>
      </c>
      <c r="N158" s="56">
        <f t="shared" si="37"/>
        <v>0.75</v>
      </c>
      <c r="O158" s="56">
        <f t="shared" si="37"/>
        <v>0.75</v>
      </c>
      <c r="P158" s="56">
        <f t="shared" si="37"/>
        <v>0.83653846153846156</v>
      </c>
      <c r="Q158" s="56">
        <f t="shared" si="37"/>
        <v>0</v>
      </c>
      <c r="R158" s="56">
        <f t="shared" si="37"/>
        <v>0</v>
      </c>
      <c r="S158" s="56">
        <f t="shared" si="37"/>
        <v>0</v>
      </c>
      <c r="T158" s="56">
        <f t="shared" si="37"/>
        <v>0</v>
      </c>
      <c r="U158" s="56">
        <f t="shared" si="37"/>
        <v>0</v>
      </c>
      <c r="V158" s="56">
        <f t="shared" si="37"/>
        <v>0</v>
      </c>
      <c r="W158" s="56">
        <f t="shared" si="37"/>
        <v>0</v>
      </c>
      <c r="X158" s="56">
        <f t="shared" si="37"/>
        <v>0</v>
      </c>
      <c r="Y158" s="56">
        <f t="shared" si="37"/>
        <v>0</v>
      </c>
      <c r="Z158" s="56">
        <f t="shared" si="37"/>
        <v>0</v>
      </c>
      <c r="AA158" s="56">
        <f t="shared" si="37"/>
        <v>0</v>
      </c>
      <c r="AB158" s="56">
        <f t="shared" si="37"/>
        <v>0</v>
      </c>
      <c r="AC158" s="56">
        <f t="shared" si="37"/>
        <v>0</v>
      </c>
      <c r="AD158" s="56">
        <f t="shared" si="37"/>
        <v>0</v>
      </c>
    </row>
    <row r="159" spans="1:30" outlineLevel="1">
      <c r="A159" s="13" t="s">
        <v>252</v>
      </c>
      <c r="B159" s="13" t="s">
        <v>99</v>
      </c>
      <c r="C159" s="46">
        <f t="shared" ref="C159:AD159" si="38">IF(C154=0,0,C121*C152/C154)</f>
        <v>4.4237288135593221E-4</v>
      </c>
      <c r="D159" s="46">
        <f t="shared" si="38"/>
        <v>0</v>
      </c>
      <c r="E159" s="46">
        <f t="shared" si="38"/>
        <v>0</v>
      </c>
      <c r="F159" s="46">
        <f t="shared" si="38"/>
        <v>8.9999999999999998E-4</v>
      </c>
      <c r="G159" s="46">
        <f t="shared" si="38"/>
        <v>8.9999999999999998E-4</v>
      </c>
      <c r="H159" s="46">
        <f t="shared" si="38"/>
        <v>8.9999999999999998E-4</v>
      </c>
      <c r="I159" s="46">
        <f t="shared" si="38"/>
        <v>8.9999999999999998E-4</v>
      </c>
      <c r="J159" s="46">
        <f t="shared" si="38"/>
        <v>8.9999999999999998E-4</v>
      </c>
      <c r="K159" s="46">
        <f t="shared" si="38"/>
        <v>6.1507537688442219E-4</v>
      </c>
      <c r="L159" s="46">
        <f t="shared" si="38"/>
        <v>3.3750000000000002E-4</v>
      </c>
      <c r="M159" s="46">
        <f t="shared" si="38"/>
        <v>3.3750000000000002E-4</v>
      </c>
      <c r="N159" s="46">
        <f t="shared" si="38"/>
        <v>3.3750000000000002E-4</v>
      </c>
      <c r="O159" s="46">
        <f t="shared" si="38"/>
        <v>3.3750000000000002E-4</v>
      </c>
      <c r="P159" s="46">
        <f t="shared" si="38"/>
        <v>3.7644230769230772E-4</v>
      </c>
      <c r="Q159" s="46">
        <f t="shared" si="38"/>
        <v>0</v>
      </c>
      <c r="R159" s="46">
        <f t="shared" si="38"/>
        <v>0</v>
      </c>
      <c r="S159" s="46">
        <f t="shared" si="38"/>
        <v>0</v>
      </c>
      <c r="T159" s="46">
        <f t="shared" si="38"/>
        <v>0</v>
      </c>
      <c r="U159" s="46">
        <f t="shared" si="38"/>
        <v>0</v>
      </c>
      <c r="V159" s="46">
        <f t="shared" si="38"/>
        <v>0</v>
      </c>
      <c r="W159" s="46">
        <f t="shared" si="38"/>
        <v>0</v>
      </c>
      <c r="X159" s="46">
        <f t="shared" si="38"/>
        <v>0</v>
      </c>
      <c r="Y159" s="46">
        <f t="shared" si="38"/>
        <v>0</v>
      </c>
      <c r="Z159" s="46">
        <f t="shared" si="38"/>
        <v>0</v>
      </c>
      <c r="AA159" s="46">
        <f t="shared" si="38"/>
        <v>0</v>
      </c>
      <c r="AB159" s="46">
        <f t="shared" si="38"/>
        <v>0</v>
      </c>
      <c r="AC159" s="46">
        <f t="shared" si="38"/>
        <v>0</v>
      </c>
      <c r="AD159" s="46">
        <f t="shared" si="38"/>
        <v>0</v>
      </c>
    </row>
    <row r="160" spans="1:30" outlineLevel="1">
      <c r="C160" s="44"/>
      <c r="D160" s="42"/>
      <c r="E160" s="42"/>
      <c r="F160" s="42"/>
      <c r="G160" s="79"/>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row>
    <row r="161" spans="1:30" ht="15.5" outlineLevel="1">
      <c r="A161" s="24" t="s">
        <v>196</v>
      </c>
      <c r="D161" s="15"/>
      <c r="E161" s="15"/>
      <c r="F161" s="15"/>
      <c r="G161" s="15"/>
      <c r="H161" s="15"/>
      <c r="I161" s="15"/>
      <c r="J161" s="15"/>
      <c r="K161" s="15"/>
      <c r="L161" s="15"/>
      <c r="M161" s="15"/>
      <c r="N161" s="15"/>
      <c r="O161" s="15"/>
      <c r="P161" s="15"/>
      <c r="Q161" s="15"/>
      <c r="R161" s="15"/>
      <c r="S161" s="15"/>
      <c r="T161" s="15"/>
      <c r="U161" s="15"/>
      <c r="V161" s="15"/>
      <c r="W161" s="15"/>
      <c r="X161" s="15"/>
      <c r="Y161" s="15"/>
      <c r="Z161" s="15"/>
      <c r="AA161" s="15"/>
      <c r="AB161" s="15"/>
      <c r="AC161" s="15"/>
      <c r="AD161" s="15"/>
    </row>
    <row r="162" spans="1:30" outlineLevel="1">
      <c r="A162" s="214" t="s">
        <v>40</v>
      </c>
      <c r="B162" s="214" t="s">
        <v>35</v>
      </c>
      <c r="C162" s="258">
        <f>SUMPRODUCT(D154:AD154*D162:AD162)/C154</f>
        <v>0.88000000000000034</v>
      </c>
      <c r="D162" s="220">
        <v>0.88</v>
      </c>
      <c r="E162" s="220">
        <f t="shared" ref="E162:AD165" si="39">D162</f>
        <v>0.88</v>
      </c>
      <c r="F162" s="220">
        <f t="shared" si="39"/>
        <v>0.88</v>
      </c>
      <c r="G162" s="220">
        <f t="shared" si="39"/>
        <v>0.88</v>
      </c>
      <c r="H162" s="220">
        <f t="shared" si="39"/>
        <v>0.88</v>
      </c>
      <c r="I162" s="220">
        <f t="shared" si="39"/>
        <v>0.88</v>
      </c>
      <c r="J162" s="220">
        <f t="shared" si="39"/>
        <v>0.88</v>
      </c>
      <c r="K162" s="220">
        <f t="shared" si="39"/>
        <v>0.88</v>
      </c>
      <c r="L162" s="220">
        <f t="shared" si="39"/>
        <v>0.88</v>
      </c>
      <c r="M162" s="220">
        <f t="shared" si="39"/>
        <v>0.88</v>
      </c>
      <c r="N162" s="220">
        <f t="shared" si="39"/>
        <v>0.88</v>
      </c>
      <c r="O162" s="220">
        <f t="shared" si="39"/>
        <v>0.88</v>
      </c>
      <c r="P162" s="220">
        <f t="shared" si="39"/>
        <v>0.88</v>
      </c>
      <c r="Q162" s="220">
        <f t="shared" si="39"/>
        <v>0.88</v>
      </c>
      <c r="R162" s="220">
        <f t="shared" si="39"/>
        <v>0.88</v>
      </c>
      <c r="S162" s="220">
        <f t="shared" si="39"/>
        <v>0.88</v>
      </c>
      <c r="T162" s="220">
        <f t="shared" si="39"/>
        <v>0.88</v>
      </c>
      <c r="U162" s="220">
        <f t="shared" si="39"/>
        <v>0.88</v>
      </c>
      <c r="V162" s="220">
        <f t="shared" si="39"/>
        <v>0.88</v>
      </c>
      <c r="W162" s="220">
        <f t="shared" si="39"/>
        <v>0.88</v>
      </c>
      <c r="X162" s="220">
        <f t="shared" si="39"/>
        <v>0.88</v>
      </c>
      <c r="Y162" s="220">
        <f t="shared" si="39"/>
        <v>0.88</v>
      </c>
      <c r="Z162" s="220">
        <f t="shared" si="39"/>
        <v>0.88</v>
      </c>
      <c r="AA162" s="220">
        <f t="shared" si="39"/>
        <v>0.88</v>
      </c>
      <c r="AB162" s="220">
        <f t="shared" si="39"/>
        <v>0.88</v>
      </c>
      <c r="AC162" s="220">
        <f t="shared" si="39"/>
        <v>0.88</v>
      </c>
      <c r="AD162" s="220">
        <f t="shared" si="39"/>
        <v>0.88</v>
      </c>
    </row>
    <row r="163" spans="1:30" outlineLevel="1">
      <c r="A163" s="214" t="s">
        <v>41</v>
      </c>
      <c r="B163" s="214" t="s">
        <v>43</v>
      </c>
      <c r="C163" s="258">
        <f>SUMPRODUCT(D154:AD154*D163:AD163)/C154</f>
        <v>0.7699999999999998</v>
      </c>
      <c r="D163" s="220">
        <v>0.77</v>
      </c>
      <c r="E163" s="220">
        <f t="shared" si="39"/>
        <v>0.77</v>
      </c>
      <c r="F163" s="220">
        <f t="shared" si="39"/>
        <v>0.77</v>
      </c>
      <c r="G163" s="220">
        <f t="shared" si="39"/>
        <v>0.77</v>
      </c>
      <c r="H163" s="220">
        <f t="shared" si="39"/>
        <v>0.77</v>
      </c>
      <c r="I163" s="220">
        <f t="shared" si="39"/>
        <v>0.77</v>
      </c>
      <c r="J163" s="220">
        <f t="shared" si="39"/>
        <v>0.77</v>
      </c>
      <c r="K163" s="220">
        <f t="shared" si="39"/>
        <v>0.77</v>
      </c>
      <c r="L163" s="220">
        <f t="shared" si="39"/>
        <v>0.77</v>
      </c>
      <c r="M163" s="220">
        <f t="shared" si="39"/>
        <v>0.77</v>
      </c>
      <c r="N163" s="220">
        <f t="shared" si="39"/>
        <v>0.77</v>
      </c>
      <c r="O163" s="220">
        <f t="shared" si="39"/>
        <v>0.77</v>
      </c>
      <c r="P163" s="220">
        <f t="shared" si="39"/>
        <v>0.77</v>
      </c>
      <c r="Q163" s="220">
        <f t="shared" si="39"/>
        <v>0.77</v>
      </c>
      <c r="R163" s="220">
        <f t="shared" si="39"/>
        <v>0.77</v>
      </c>
      <c r="S163" s="220">
        <f t="shared" si="39"/>
        <v>0.77</v>
      </c>
      <c r="T163" s="220">
        <f t="shared" si="39"/>
        <v>0.77</v>
      </c>
      <c r="U163" s="220">
        <f t="shared" si="39"/>
        <v>0.77</v>
      </c>
      <c r="V163" s="220">
        <f t="shared" si="39"/>
        <v>0.77</v>
      </c>
      <c r="W163" s="220">
        <f t="shared" si="39"/>
        <v>0.77</v>
      </c>
      <c r="X163" s="220">
        <f t="shared" si="39"/>
        <v>0.77</v>
      </c>
      <c r="Y163" s="220">
        <f t="shared" si="39"/>
        <v>0.77</v>
      </c>
      <c r="Z163" s="220">
        <f t="shared" si="39"/>
        <v>0.77</v>
      </c>
      <c r="AA163" s="220">
        <f t="shared" si="39"/>
        <v>0.77</v>
      </c>
      <c r="AB163" s="220">
        <f t="shared" si="39"/>
        <v>0.77</v>
      </c>
      <c r="AC163" s="220">
        <f t="shared" si="39"/>
        <v>0.77</v>
      </c>
      <c r="AD163" s="220">
        <f t="shared" si="39"/>
        <v>0.77</v>
      </c>
    </row>
    <row r="164" spans="1:30" outlineLevel="1">
      <c r="A164" s="214" t="s">
        <v>42</v>
      </c>
      <c r="B164" s="214" t="s">
        <v>193</v>
      </c>
      <c r="C164" s="258">
        <f>SUMPRODUCT(D154:AD154*D164:AD164)/C154</f>
        <v>0.65000000000000024</v>
      </c>
      <c r="D164" s="220">
        <v>0.65</v>
      </c>
      <c r="E164" s="220">
        <f t="shared" si="39"/>
        <v>0.65</v>
      </c>
      <c r="F164" s="220">
        <f t="shared" si="39"/>
        <v>0.65</v>
      </c>
      <c r="G164" s="220">
        <f t="shared" si="39"/>
        <v>0.65</v>
      </c>
      <c r="H164" s="220">
        <f t="shared" si="39"/>
        <v>0.65</v>
      </c>
      <c r="I164" s="220">
        <f t="shared" si="39"/>
        <v>0.65</v>
      </c>
      <c r="J164" s="220">
        <f t="shared" si="39"/>
        <v>0.65</v>
      </c>
      <c r="K164" s="220">
        <f t="shared" si="39"/>
        <v>0.65</v>
      </c>
      <c r="L164" s="220">
        <f t="shared" si="39"/>
        <v>0.65</v>
      </c>
      <c r="M164" s="220">
        <f t="shared" si="39"/>
        <v>0.65</v>
      </c>
      <c r="N164" s="220">
        <f t="shared" si="39"/>
        <v>0.65</v>
      </c>
      <c r="O164" s="220">
        <f t="shared" si="39"/>
        <v>0.65</v>
      </c>
      <c r="P164" s="220">
        <f t="shared" si="39"/>
        <v>0.65</v>
      </c>
      <c r="Q164" s="220">
        <f t="shared" si="39"/>
        <v>0.65</v>
      </c>
      <c r="R164" s="220">
        <f t="shared" si="39"/>
        <v>0.65</v>
      </c>
      <c r="S164" s="220">
        <f t="shared" si="39"/>
        <v>0.65</v>
      </c>
      <c r="T164" s="220">
        <f t="shared" si="39"/>
        <v>0.65</v>
      </c>
      <c r="U164" s="220">
        <f t="shared" si="39"/>
        <v>0.65</v>
      </c>
      <c r="V164" s="220">
        <f t="shared" si="39"/>
        <v>0.65</v>
      </c>
      <c r="W164" s="220">
        <f t="shared" si="39"/>
        <v>0.65</v>
      </c>
      <c r="X164" s="220">
        <f t="shared" si="39"/>
        <v>0.65</v>
      </c>
      <c r="Y164" s="220">
        <f t="shared" si="39"/>
        <v>0.65</v>
      </c>
      <c r="Z164" s="220">
        <f t="shared" si="39"/>
        <v>0.65</v>
      </c>
      <c r="AA164" s="220">
        <f t="shared" si="39"/>
        <v>0.65</v>
      </c>
      <c r="AB164" s="220">
        <f t="shared" si="39"/>
        <v>0.65</v>
      </c>
      <c r="AC164" s="220">
        <f t="shared" si="39"/>
        <v>0.65</v>
      </c>
      <c r="AD164" s="220">
        <f t="shared" si="39"/>
        <v>0.65</v>
      </c>
    </row>
    <row r="165" spans="1:30" outlineLevel="1">
      <c r="A165" s="214" t="s">
        <v>103</v>
      </c>
      <c r="B165" s="214" t="s">
        <v>35</v>
      </c>
      <c r="C165" s="258">
        <f>SUMPRODUCT(D166:AD166*D165:AD165)/C166</f>
        <v>0.30999999999999994</v>
      </c>
      <c r="D165" s="220">
        <v>0.31</v>
      </c>
      <c r="E165" s="220">
        <f t="shared" si="39"/>
        <v>0.31</v>
      </c>
      <c r="F165" s="220">
        <f t="shared" si="39"/>
        <v>0.31</v>
      </c>
      <c r="G165" s="220">
        <f t="shared" si="39"/>
        <v>0.31</v>
      </c>
      <c r="H165" s="220">
        <f t="shared" si="39"/>
        <v>0.31</v>
      </c>
      <c r="I165" s="220">
        <f t="shared" si="39"/>
        <v>0.31</v>
      </c>
      <c r="J165" s="220">
        <f t="shared" si="39"/>
        <v>0.31</v>
      </c>
      <c r="K165" s="220">
        <f t="shared" si="39"/>
        <v>0.31</v>
      </c>
      <c r="L165" s="220">
        <f t="shared" si="39"/>
        <v>0.31</v>
      </c>
      <c r="M165" s="220">
        <f t="shared" si="39"/>
        <v>0.31</v>
      </c>
      <c r="N165" s="220">
        <f t="shared" si="39"/>
        <v>0.31</v>
      </c>
      <c r="O165" s="220">
        <f t="shared" si="39"/>
        <v>0.31</v>
      </c>
      <c r="P165" s="220">
        <f t="shared" si="39"/>
        <v>0.31</v>
      </c>
      <c r="Q165" s="220">
        <f t="shared" si="39"/>
        <v>0.31</v>
      </c>
      <c r="R165" s="220">
        <f t="shared" si="39"/>
        <v>0.31</v>
      </c>
      <c r="S165" s="220">
        <f t="shared" si="39"/>
        <v>0.31</v>
      </c>
      <c r="T165" s="220">
        <f t="shared" si="39"/>
        <v>0.31</v>
      </c>
      <c r="U165" s="220">
        <f t="shared" si="39"/>
        <v>0.31</v>
      </c>
      <c r="V165" s="220">
        <f t="shared" si="39"/>
        <v>0.31</v>
      </c>
      <c r="W165" s="220">
        <f t="shared" si="39"/>
        <v>0.31</v>
      </c>
      <c r="X165" s="220">
        <f t="shared" si="39"/>
        <v>0.31</v>
      </c>
      <c r="Y165" s="220">
        <f t="shared" si="39"/>
        <v>0.31</v>
      </c>
      <c r="Z165" s="220">
        <f t="shared" si="39"/>
        <v>0.31</v>
      </c>
      <c r="AA165" s="220">
        <f t="shared" si="39"/>
        <v>0.31</v>
      </c>
      <c r="AB165" s="220">
        <f t="shared" si="39"/>
        <v>0.31</v>
      </c>
      <c r="AC165" s="220">
        <f t="shared" si="39"/>
        <v>0.31</v>
      </c>
      <c r="AD165" s="220">
        <f t="shared" si="39"/>
        <v>0.31</v>
      </c>
    </row>
    <row r="166" spans="1:30" s="14" customFormat="1" outlineLevel="1">
      <c r="A166" s="14" t="s">
        <v>89</v>
      </c>
      <c r="B166" s="13" t="s">
        <v>26</v>
      </c>
      <c r="C166" s="44">
        <f>SUM(D166:AD166)</f>
        <v>3079.4322580645162</v>
      </c>
      <c r="D166" s="48">
        <f t="shared" ref="D166:AD166" si="40">D154*D156*D162/D165*1000</f>
        <v>0</v>
      </c>
      <c r="E166" s="48">
        <f t="shared" si="40"/>
        <v>0</v>
      </c>
      <c r="F166" s="48">
        <f t="shared" si="40"/>
        <v>138.35434243176175</v>
      </c>
      <c r="G166" s="48">
        <f t="shared" si="40"/>
        <v>218.01290322580644</v>
      </c>
      <c r="H166" s="48">
        <f t="shared" si="40"/>
        <v>218.01290322580644</v>
      </c>
      <c r="I166" s="48">
        <f t="shared" si="40"/>
        <v>218.01290322580644</v>
      </c>
      <c r="J166" s="48">
        <f t="shared" si="40"/>
        <v>227.44615384615383</v>
      </c>
      <c r="K166" s="48">
        <f t="shared" si="40"/>
        <v>203.07692307692307</v>
      </c>
      <c r="L166" s="48">
        <f t="shared" si="40"/>
        <v>206.65806451612906</v>
      </c>
      <c r="M166" s="48">
        <f t="shared" si="40"/>
        <v>206.65806451612906</v>
      </c>
      <c r="N166" s="48">
        <f t="shared" si="40"/>
        <v>206.65806451612906</v>
      </c>
      <c r="O166" s="48">
        <f t="shared" si="40"/>
        <v>206.65806451612906</v>
      </c>
      <c r="P166" s="48">
        <f t="shared" si="40"/>
        <v>207.44416873449129</v>
      </c>
      <c r="Q166" s="48">
        <f t="shared" si="40"/>
        <v>199.84516129032258</v>
      </c>
      <c r="R166" s="48">
        <f t="shared" si="40"/>
        <v>199.84516129032258</v>
      </c>
      <c r="S166" s="48">
        <f t="shared" si="40"/>
        <v>199.84516129032258</v>
      </c>
      <c r="T166" s="48">
        <f t="shared" si="40"/>
        <v>222.90421836228288</v>
      </c>
      <c r="U166" s="48">
        <f t="shared" si="40"/>
        <v>0</v>
      </c>
      <c r="V166" s="48">
        <f t="shared" si="40"/>
        <v>0</v>
      </c>
      <c r="W166" s="48">
        <f t="shared" si="40"/>
        <v>0</v>
      </c>
      <c r="X166" s="48">
        <f t="shared" si="40"/>
        <v>0</v>
      </c>
      <c r="Y166" s="48">
        <f t="shared" si="40"/>
        <v>0</v>
      </c>
      <c r="Z166" s="48">
        <f t="shared" si="40"/>
        <v>0</v>
      </c>
      <c r="AA166" s="48">
        <f t="shared" si="40"/>
        <v>0</v>
      </c>
      <c r="AB166" s="48">
        <f t="shared" si="40"/>
        <v>0</v>
      </c>
      <c r="AC166" s="48">
        <f t="shared" si="40"/>
        <v>0</v>
      </c>
      <c r="AD166" s="48">
        <f t="shared" si="40"/>
        <v>0</v>
      </c>
    </row>
    <row r="167" spans="1:30" outlineLevel="1">
      <c r="A167" s="13" t="s">
        <v>101</v>
      </c>
      <c r="B167" s="13" t="s">
        <v>36</v>
      </c>
      <c r="C167" s="56">
        <f>IF(C166=0,0,C154*C157*C163/C166)*1000</f>
        <v>4.1217942605024911</v>
      </c>
      <c r="D167" s="56">
        <f t="shared" ref="D167:AD167" si="41">IF(D166=0,0,D154*D157*D163/D166)*1000</f>
        <v>0</v>
      </c>
      <c r="E167" s="56">
        <f t="shared" si="41"/>
        <v>0</v>
      </c>
      <c r="F167" s="56">
        <f t="shared" si="41"/>
        <v>6.2161458333333348</v>
      </c>
      <c r="G167" s="56">
        <f t="shared" si="41"/>
        <v>6.216145833333333</v>
      </c>
      <c r="H167" s="56">
        <f t="shared" si="41"/>
        <v>6.216145833333333</v>
      </c>
      <c r="I167" s="56">
        <f t="shared" si="41"/>
        <v>6.216145833333333</v>
      </c>
      <c r="J167" s="56">
        <f t="shared" si="41"/>
        <v>6.2161458333333339</v>
      </c>
      <c r="K167" s="56">
        <f t="shared" si="41"/>
        <v>6.0170833333333338</v>
      </c>
      <c r="L167" s="56">
        <f t="shared" si="41"/>
        <v>5.8124999999999991</v>
      </c>
      <c r="M167" s="56">
        <f t="shared" si="41"/>
        <v>5.8124999999999991</v>
      </c>
      <c r="N167" s="56">
        <f t="shared" si="41"/>
        <v>5.8124999999999991</v>
      </c>
      <c r="O167" s="56">
        <f t="shared" si="41"/>
        <v>5.8124999999999991</v>
      </c>
      <c r="P167" s="56">
        <f t="shared" si="41"/>
        <v>5.8418684210526317</v>
      </c>
      <c r="Q167" s="56">
        <f t="shared" si="41"/>
        <v>5.5482954545454541</v>
      </c>
      <c r="R167" s="56">
        <f t="shared" si="41"/>
        <v>5.5482954545454541</v>
      </c>
      <c r="S167" s="56">
        <f t="shared" si="41"/>
        <v>5.5482954545454541</v>
      </c>
      <c r="T167" s="56">
        <f t="shared" si="41"/>
        <v>5.548295454545455</v>
      </c>
      <c r="U167" s="56">
        <f t="shared" si="41"/>
        <v>0</v>
      </c>
      <c r="V167" s="56">
        <f t="shared" si="41"/>
        <v>0</v>
      </c>
      <c r="W167" s="56">
        <f t="shared" si="41"/>
        <v>0</v>
      </c>
      <c r="X167" s="56">
        <f t="shared" si="41"/>
        <v>0</v>
      </c>
      <c r="Y167" s="56">
        <f t="shared" si="41"/>
        <v>0</v>
      </c>
      <c r="Z167" s="56">
        <f t="shared" si="41"/>
        <v>0</v>
      </c>
      <c r="AA167" s="56">
        <f t="shared" si="41"/>
        <v>0</v>
      </c>
      <c r="AB167" s="56">
        <f t="shared" si="41"/>
        <v>0</v>
      </c>
      <c r="AC167" s="56">
        <f t="shared" si="41"/>
        <v>0</v>
      </c>
      <c r="AD167" s="56">
        <f t="shared" si="41"/>
        <v>0</v>
      </c>
    </row>
    <row r="168" spans="1:30" outlineLevel="1">
      <c r="A168" s="13" t="s">
        <v>106</v>
      </c>
      <c r="B168" s="13" t="s">
        <v>37</v>
      </c>
      <c r="C168" s="42">
        <f>IF(C166=0,0,C154*C158*C164/C166)*1000</f>
        <v>24.485032850630205</v>
      </c>
      <c r="D168" s="42">
        <f t="shared" ref="D168:AD168" si="42">IF(D166=0,0,D154*D158*D164/D166)*1000</f>
        <v>0</v>
      </c>
      <c r="E168" s="42">
        <f t="shared" si="42"/>
        <v>0</v>
      </c>
      <c r="F168" s="42">
        <f t="shared" si="42"/>
        <v>47.703598484848492</v>
      </c>
      <c r="G168" s="42">
        <f t="shared" si="42"/>
        <v>47.703598484848484</v>
      </c>
      <c r="H168" s="42">
        <f t="shared" si="42"/>
        <v>47.703598484848484</v>
      </c>
      <c r="I168" s="42">
        <f t="shared" si="42"/>
        <v>47.703598484848484</v>
      </c>
      <c r="J168" s="42">
        <f t="shared" si="42"/>
        <v>47.703598484848492</v>
      </c>
      <c r="K168" s="42">
        <f t="shared" si="42"/>
        <v>33.484848484848492</v>
      </c>
      <c r="L168" s="42">
        <f t="shared" si="42"/>
        <v>18.871753246753244</v>
      </c>
      <c r="M168" s="42">
        <f t="shared" si="42"/>
        <v>18.871753246753244</v>
      </c>
      <c r="N168" s="42">
        <f t="shared" si="42"/>
        <v>18.871753246753244</v>
      </c>
      <c r="O168" s="42">
        <f t="shared" si="42"/>
        <v>18.871753246753244</v>
      </c>
      <c r="P168" s="42">
        <f t="shared" si="42"/>
        <v>20.969497607655509</v>
      </c>
      <c r="Q168" s="42">
        <f t="shared" si="42"/>
        <v>0</v>
      </c>
      <c r="R168" s="42">
        <f t="shared" si="42"/>
        <v>0</v>
      </c>
      <c r="S168" s="42">
        <f t="shared" si="42"/>
        <v>0</v>
      </c>
      <c r="T168" s="42">
        <f t="shared" si="42"/>
        <v>0</v>
      </c>
      <c r="U168" s="42">
        <f t="shared" si="42"/>
        <v>0</v>
      </c>
      <c r="V168" s="42">
        <f t="shared" si="42"/>
        <v>0</v>
      </c>
      <c r="W168" s="42">
        <f t="shared" si="42"/>
        <v>0</v>
      </c>
      <c r="X168" s="42">
        <f t="shared" si="42"/>
        <v>0</v>
      </c>
      <c r="Y168" s="42">
        <f t="shared" si="42"/>
        <v>0</v>
      </c>
      <c r="Z168" s="42">
        <f t="shared" si="42"/>
        <v>0</v>
      </c>
      <c r="AA168" s="42">
        <f t="shared" si="42"/>
        <v>0</v>
      </c>
      <c r="AB168" s="42">
        <f t="shared" si="42"/>
        <v>0</v>
      </c>
      <c r="AC168" s="42">
        <f t="shared" si="42"/>
        <v>0</v>
      </c>
      <c r="AD168" s="42">
        <f t="shared" si="42"/>
        <v>0</v>
      </c>
    </row>
    <row r="169" spans="1:30" outlineLevel="1">
      <c r="A169" s="52"/>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row>
    <row r="170" spans="1:30" outlineLevel="1">
      <c r="A170" s="13" t="s">
        <v>624</v>
      </c>
      <c r="B170" s="13" t="s">
        <v>75</v>
      </c>
      <c r="C170" s="44">
        <f>SUM(D170:AD170)</f>
        <v>954.6239999999998</v>
      </c>
      <c r="D170" s="42">
        <f t="shared" ref="D170:AD170" si="43">D165*D166</f>
        <v>0</v>
      </c>
      <c r="E170" s="42">
        <f t="shared" si="43"/>
        <v>0</v>
      </c>
      <c r="F170" s="42">
        <f t="shared" si="43"/>
        <v>42.889846153846143</v>
      </c>
      <c r="G170" s="42">
        <f t="shared" si="43"/>
        <v>67.583999999999989</v>
      </c>
      <c r="H170" s="42">
        <f t="shared" si="43"/>
        <v>67.583999999999989</v>
      </c>
      <c r="I170" s="42">
        <f t="shared" si="43"/>
        <v>67.583999999999989</v>
      </c>
      <c r="J170" s="42">
        <f t="shared" si="43"/>
        <v>70.508307692307682</v>
      </c>
      <c r="K170" s="42">
        <f t="shared" si="43"/>
        <v>62.95384615384615</v>
      </c>
      <c r="L170" s="42">
        <f t="shared" si="43"/>
        <v>64.064000000000007</v>
      </c>
      <c r="M170" s="42">
        <f t="shared" si="43"/>
        <v>64.064000000000007</v>
      </c>
      <c r="N170" s="42">
        <f t="shared" si="43"/>
        <v>64.064000000000007</v>
      </c>
      <c r="O170" s="42">
        <f t="shared" si="43"/>
        <v>64.064000000000007</v>
      </c>
      <c r="P170" s="42">
        <f t="shared" si="43"/>
        <v>64.307692307692292</v>
      </c>
      <c r="Q170" s="42">
        <f t="shared" si="43"/>
        <v>61.951999999999998</v>
      </c>
      <c r="R170" s="42">
        <f t="shared" si="43"/>
        <v>61.951999999999998</v>
      </c>
      <c r="S170" s="42">
        <f t="shared" si="43"/>
        <v>61.951999999999998</v>
      </c>
      <c r="T170" s="42">
        <f t="shared" si="43"/>
        <v>69.100307692307695</v>
      </c>
      <c r="U170" s="42">
        <f t="shared" si="43"/>
        <v>0</v>
      </c>
      <c r="V170" s="42">
        <f t="shared" si="43"/>
        <v>0</v>
      </c>
      <c r="W170" s="42">
        <f t="shared" si="43"/>
        <v>0</v>
      </c>
      <c r="X170" s="42">
        <f t="shared" si="43"/>
        <v>0</v>
      </c>
      <c r="Y170" s="42">
        <f t="shared" si="43"/>
        <v>0</v>
      </c>
      <c r="Z170" s="42">
        <f t="shared" si="43"/>
        <v>0</v>
      </c>
      <c r="AA170" s="42">
        <f t="shared" si="43"/>
        <v>0</v>
      </c>
      <c r="AB170" s="42">
        <f t="shared" si="43"/>
        <v>0</v>
      </c>
      <c r="AC170" s="42">
        <f t="shared" si="43"/>
        <v>0</v>
      </c>
      <c r="AD170" s="42">
        <f t="shared" si="43"/>
        <v>0</v>
      </c>
    </row>
    <row r="171" spans="1:30" outlineLevel="1">
      <c r="A171" s="13" t="s">
        <v>107</v>
      </c>
      <c r="B171" s="13" t="s">
        <v>254</v>
      </c>
      <c r="C171" s="44">
        <f>SUM(D171:AD171)</f>
        <v>583.31832797427637</v>
      </c>
      <c r="D171" s="42">
        <f t="shared" ref="D171:AD171" si="44">D166*D167/31.1</f>
        <v>0</v>
      </c>
      <c r="E171" s="42">
        <f t="shared" si="44"/>
        <v>0</v>
      </c>
      <c r="F171" s="42">
        <f t="shared" si="44"/>
        <v>27.653722483304477</v>
      </c>
      <c r="G171" s="42">
        <f t="shared" si="44"/>
        <v>43.575562700964625</v>
      </c>
      <c r="H171" s="42">
        <f t="shared" si="44"/>
        <v>43.575562700964625</v>
      </c>
      <c r="I171" s="42">
        <f t="shared" si="44"/>
        <v>43.575562700964625</v>
      </c>
      <c r="J171" s="42">
        <f t="shared" si="44"/>
        <v>45.461043779371757</v>
      </c>
      <c r="K171" s="42">
        <f t="shared" si="44"/>
        <v>39.290378431857533</v>
      </c>
      <c r="L171" s="42">
        <f t="shared" si="44"/>
        <v>38.623794212218648</v>
      </c>
      <c r="M171" s="42">
        <f t="shared" si="44"/>
        <v>38.623794212218648</v>
      </c>
      <c r="N171" s="42">
        <f t="shared" si="44"/>
        <v>38.623794212218648</v>
      </c>
      <c r="O171" s="42">
        <f t="shared" si="44"/>
        <v>38.623794212218648</v>
      </c>
      <c r="P171" s="42">
        <f t="shared" si="44"/>
        <v>38.966608953747205</v>
      </c>
      <c r="Q171" s="42">
        <f t="shared" si="44"/>
        <v>35.652733118971057</v>
      </c>
      <c r="R171" s="42">
        <f t="shared" si="44"/>
        <v>35.652733118971057</v>
      </c>
      <c r="S171" s="42">
        <f t="shared" si="44"/>
        <v>35.652733118971057</v>
      </c>
      <c r="T171" s="42">
        <f t="shared" si="44"/>
        <v>39.766510017313877</v>
      </c>
      <c r="U171" s="42">
        <f t="shared" si="44"/>
        <v>0</v>
      </c>
      <c r="V171" s="42">
        <f t="shared" si="44"/>
        <v>0</v>
      </c>
      <c r="W171" s="42">
        <f t="shared" si="44"/>
        <v>0</v>
      </c>
      <c r="X171" s="42">
        <f t="shared" si="44"/>
        <v>0</v>
      </c>
      <c r="Y171" s="42">
        <f t="shared" si="44"/>
        <v>0</v>
      </c>
      <c r="Z171" s="42">
        <f t="shared" si="44"/>
        <v>0</v>
      </c>
      <c r="AA171" s="42">
        <f t="shared" si="44"/>
        <v>0</v>
      </c>
      <c r="AB171" s="42">
        <f t="shared" si="44"/>
        <v>0</v>
      </c>
      <c r="AC171" s="42">
        <f t="shared" si="44"/>
        <v>0</v>
      </c>
      <c r="AD171" s="42">
        <f t="shared" si="44"/>
        <v>0</v>
      </c>
    </row>
    <row r="172" spans="1:30" outlineLevel="1">
      <c r="A172" s="13" t="s">
        <v>108</v>
      </c>
      <c r="B172" s="13" t="s">
        <v>255</v>
      </c>
      <c r="C172" s="44">
        <f>SUM(D172:AD172)</f>
        <v>2424.43729903537</v>
      </c>
      <c r="D172" s="42">
        <f t="shared" ref="D172:AD172" si="45">D166*D168/31.1</f>
        <v>0</v>
      </c>
      <c r="E172" s="42">
        <f t="shared" si="45"/>
        <v>0</v>
      </c>
      <c r="F172" s="42">
        <f t="shared" si="45"/>
        <v>212.21864951768484</v>
      </c>
      <c r="G172" s="42">
        <f t="shared" si="45"/>
        <v>334.40514469453376</v>
      </c>
      <c r="H172" s="42">
        <f t="shared" si="45"/>
        <v>334.40514469453376</v>
      </c>
      <c r="I172" s="42">
        <f t="shared" si="45"/>
        <v>334.40514469453376</v>
      </c>
      <c r="J172" s="42">
        <f t="shared" si="45"/>
        <v>348.87459807073958</v>
      </c>
      <c r="K172" s="42">
        <f t="shared" si="45"/>
        <v>218.64951768488748</v>
      </c>
      <c r="L172" s="42">
        <f t="shared" si="45"/>
        <v>125.40192926045016</v>
      </c>
      <c r="M172" s="42">
        <f t="shared" si="45"/>
        <v>125.40192926045016</v>
      </c>
      <c r="N172" s="42">
        <f t="shared" si="45"/>
        <v>125.40192926045016</v>
      </c>
      <c r="O172" s="42">
        <f t="shared" si="45"/>
        <v>125.40192926045016</v>
      </c>
      <c r="P172" s="42">
        <f t="shared" si="45"/>
        <v>139.87138263665597</v>
      </c>
      <c r="Q172" s="42">
        <f t="shared" si="45"/>
        <v>0</v>
      </c>
      <c r="R172" s="42">
        <f t="shared" si="45"/>
        <v>0</v>
      </c>
      <c r="S172" s="42">
        <f t="shared" si="45"/>
        <v>0</v>
      </c>
      <c r="T172" s="42">
        <f t="shared" si="45"/>
        <v>0</v>
      </c>
      <c r="U172" s="42">
        <f t="shared" si="45"/>
        <v>0</v>
      </c>
      <c r="V172" s="42">
        <f t="shared" si="45"/>
        <v>0</v>
      </c>
      <c r="W172" s="42">
        <f t="shared" si="45"/>
        <v>0</v>
      </c>
      <c r="X172" s="42">
        <f t="shared" si="45"/>
        <v>0</v>
      </c>
      <c r="Y172" s="42">
        <f t="shared" si="45"/>
        <v>0</v>
      </c>
      <c r="Z172" s="42">
        <f t="shared" si="45"/>
        <v>0</v>
      </c>
      <c r="AA172" s="42">
        <f t="shared" si="45"/>
        <v>0</v>
      </c>
      <c r="AB172" s="42">
        <f t="shared" si="45"/>
        <v>0</v>
      </c>
      <c r="AC172" s="42">
        <f t="shared" si="45"/>
        <v>0</v>
      </c>
      <c r="AD172" s="42">
        <f t="shared" si="45"/>
        <v>0</v>
      </c>
    </row>
    <row r="173" spans="1:30" outlineLevel="1">
      <c r="C173" s="44"/>
      <c r="D173" s="42"/>
      <c r="E173" s="42"/>
      <c r="F173" s="42"/>
      <c r="G173" s="79"/>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row>
    <row r="174" spans="1:30" ht="33" customHeight="1" outlineLevel="1">
      <c r="A174" s="24" t="s">
        <v>197</v>
      </c>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c r="AD174" s="15"/>
    </row>
    <row r="175" spans="1:30" outlineLevel="1">
      <c r="A175" s="134" t="s">
        <v>546</v>
      </c>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row>
    <row r="176" spans="1:30" outlineLevel="1">
      <c r="A176" s="214" t="s">
        <v>102</v>
      </c>
      <c r="B176" s="214" t="s">
        <v>99</v>
      </c>
      <c r="C176" s="258">
        <f>SUMPRODUCT(D154:AD154*D176:AD176)/C154</f>
        <v>0.70000000000000007</v>
      </c>
      <c r="D176" s="217">
        <v>0.7</v>
      </c>
      <c r="E176" s="217">
        <f t="shared" ref="E176:AD177" si="46">D176</f>
        <v>0.7</v>
      </c>
      <c r="F176" s="217">
        <f t="shared" si="46"/>
        <v>0.7</v>
      </c>
      <c r="G176" s="217">
        <f t="shared" si="46"/>
        <v>0.7</v>
      </c>
      <c r="H176" s="217">
        <f t="shared" si="46"/>
        <v>0.7</v>
      </c>
      <c r="I176" s="217">
        <f t="shared" si="46"/>
        <v>0.7</v>
      </c>
      <c r="J176" s="217">
        <f t="shared" si="46"/>
        <v>0.7</v>
      </c>
      <c r="K176" s="217">
        <f t="shared" si="46"/>
        <v>0.7</v>
      </c>
      <c r="L176" s="217">
        <f t="shared" si="46"/>
        <v>0.7</v>
      </c>
      <c r="M176" s="217">
        <f t="shared" si="46"/>
        <v>0.7</v>
      </c>
      <c r="N176" s="217">
        <f t="shared" si="46"/>
        <v>0.7</v>
      </c>
      <c r="O176" s="217">
        <f t="shared" si="46"/>
        <v>0.7</v>
      </c>
      <c r="P176" s="217">
        <f t="shared" si="46"/>
        <v>0.7</v>
      </c>
      <c r="Q176" s="217">
        <f t="shared" si="46"/>
        <v>0.7</v>
      </c>
      <c r="R176" s="217">
        <f t="shared" si="46"/>
        <v>0.7</v>
      </c>
      <c r="S176" s="217">
        <f t="shared" si="46"/>
        <v>0.7</v>
      </c>
      <c r="T176" s="217">
        <f t="shared" si="46"/>
        <v>0.7</v>
      </c>
      <c r="U176" s="217">
        <f t="shared" si="46"/>
        <v>0.7</v>
      </c>
      <c r="V176" s="217">
        <f t="shared" si="46"/>
        <v>0.7</v>
      </c>
      <c r="W176" s="217">
        <f t="shared" si="46"/>
        <v>0.7</v>
      </c>
      <c r="X176" s="217">
        <f t="shared" si="46"/>
        <v>0.7</v>
      </c>
      <c r="Y176" s="217">
        <f t="shared" si="46"/>
        <v>0.7</v>
      </c>
      <c r="Z176" s="217">
        <f t="shared" si="46"/>
        <v>0.7</v>
      </c>
      <c r="AA176" s="217">
        <f t="shared" si="46"/>
        <v>0.7</v>
      </c>
      <c r="AB176" s="217">
        <f t="shared" si="46"/>
        <v>0.7</v>
      </c>
      <c r="AC176" s="217">
        <f t="shared" si="46"/>
        <v>0.7</v>
      </c>
      <c r="AD176" s="217">
        <f t="shared" si="46"/>
        <v>0.7</v>
      </c>
    </row>
    <row r="177" spans="1:30" outlineLevel="1">
      <c r="A177" s="214" t="s">
        <v>104</v>
      </c>
      <c r="B177" s="214" t="s">
        <v>99</v>
      </c>
      <c r="C177" s="258">
        <f>SUMPRODUCT(D178:AD178*D177:AD177)/C178</f>
        <v>0.54999999999999993</v>
      </c>
      <c r="D177" s="217">
        <v>0.55000000000000004</v>
      </c>
      <c r="E177" s="217">
        <f t="shared" si="46"/>
        <v>0.55000000000000004</v>
      </c>
      <c r="F177" s="217">
        <f t="shared" si="46"/>
        <v>0.55000000000000004</v>
      </c>
      <c r="G177" s="217">
        <f t="shared" si="46"/>
        <v>0.55000000000000004</v>
      </c>
      <c r="H177" s="217">
        <f t="shared" si="46"/>
        <v>0.55000000000000004</v>
      </c>
      <c r="I177" s="217">
        <f t="shared" si="46"/>
        <v>0.55000000000000004</v>
      </c>
      <c r="J177" s="217">
        <f t="shared" si="46"/>
        <v>0.55000000000000004</v>
      </c>
      <c r="K177" s="217">
        <f t="shared" si="46"/>
        <v>0.55000000000000004</v>
      </c>
      <c r="L177" s="217">
        <f t="shared" si="46"/>
        <v>0.55000000000000004</v>
      </c>
      <c r="M177" s="217">
        <f t="shared" si="46"/>
        <v>0.55000000000000004</v>
      </c>
      <c r="N177" s="217">
        <f t="shared" si="46"/>
        <v>0.55000000000000004</v>
      </c>
      <c r="O177" s="217">
        <f t="shared" si="46"/>
        <v>0.55000000000000004</v>
      </c>
      <c r="P177" s="217">
        <f t="shared" si="46"/>
        <v>0.55000000000000004</v>
      </c>
      <c r="Q177" s="217">
        <f t="shared" si="46"/>
        <v>0.55000000000000004</v>
      </c>
      <c r="R177" s="217">
        <f t="shared" si="46"/>
        <v>0.55000000000000004</v>
      </c>
      <c r="S177" s="217">
        <f t="shared" si="46"/>
        <v>0.55000000000000004</v>
      </c>
      <c r="T177" s="217">
        <f t="shared" si="46"/>
        <v>0.55000000000000004</v>
      </c>
      <c r="U177" s="217">
        <f t="shared" si="46"/>
        <v>0.55000000000000004</v>
      </c>
      <c r="V177" s="217">
        <f t="shared" si="46"/>
        <v>0.55000000000000004</v>
      </c>
      <c r="W177" s="217">
        <f t="shared" si="46"/>
        <v>0.55000000000000004</v>
      </c>
      <c r="X177" s="217">
        <f t="shared" si="46"/>
        <v>0.55000000000000004</v>
      </c>
      <c r="Y177" s="217">
        <f t="shared" si="46"/>
        <v>0.55000000000000004</v>
      </c>
      <c r="Z177" s="217">
        <f t="shared" si="46"/>
        <v>0.55000000000000004</v>
      </c>
      <c r="AA177" s="217">
        <f t="shared" si="46"/>
        <v>0.55000000000000004</v>
      </c>
      <c r="AB177" s="217">
        <f t="shared" si="46"/>
        <v>0.55000000000000004</v>
      </c>
      <c r="AC177" s="217">
        <f t="shared" si="46"/>
        <v>0.55000000000000004</v>
      </c>
      <c r="AD177" s="217">
        <f t="shared" si="46"/>
        <v>0.55000000000000004</v>
      </c>
    </row>
    <row r="178" spans="1:30" s="14" customFormat="1" outlineLevel="1">
      <c r="A178" s="14" t="s">
        <v>105</v>
      </c>
      <c r="B178" s="13" t="s">
        <v>26</v>
      </c>
      <c r="C178" s="44">
        <f>SUM(D178:AD178)</f>
        <v>66.436363636363637</v>
      </c>
      <c r="D178" s="80">
        <f t="shared" ref="D178:AD178" si="47">D154*D159*D176/D177*1000</f>
        <v>0</v>
      </c>
      <c r="E178" s="80">
        <f t="shared" si="47"/>
        <v>0</v>
      </c>
      <c r="F178" s="80">
        <f t="shared" si="47"/>
        <v>5.8153846153846134</v>
      </c>
      <c r="G178" s="80">
        <f t="shared" si="47"/>
        <v>9.1636363636363622</v>
      </c>
      <c r="H178" s="80">
        <f t="shared" si="47"/>
        <v>9.1636363636363622</v>
      </c>
      <c r="I178" s="80">
        <f t="shared" si="47"/>
        <v>9.1636363636363622</v>
      </c>
      <c r="J178" s="80">
        <f t="shared" si="47"/>
        <v>9.5601398601398593</v>
      </c>
      <c r="K178" s="80">
        <f t="shared" si="47"/>
        <v>5.9916083916083913</v>
      </c>
      <c r="L178" s="80">
        <f t="shared" si="47"/>
        <v>3.4363636363636356</v>
      </c>
      <c r="M178" s="80">
        <f t="shared" si="47"/>
        <v>3.4363636363636356</v>
      </c>
      <c r="N178" s="80">
        <f t="shared" si="47"/>
        <v>3.4363636363636356</v>
      </c>
      <c r="O178" s="80">
        <f t="shared" si="47"/>
        <v>3.4363636363636356</v>
      </c>
      <c r="P178" s="80">
        <f t="shared" si="47"/>
        <v>3.8328671328671327</v>
      </c>
      <c r="Q178" s="80">
        <f t="shared" si="47"/>
        <v>0</v>
      </c>
      <c r="R178" s="80">
        <f t="shared" si="47"/>
        <v>0</v>
      </c>
      <c r="S178" s="80">
        <f t="shared" si="47"/>
        <v>0</v>
      </c>
      <c r="T178" s="80">
        <f t="shared" si="47"/>
        <v>0</v>
      </c>
      <c r="U178" s="80">
        <f t="shared" si="47"/>
        <v>0</v>
      </c>
      <c r="V178" s="80">
        <f t="shared" si="47"/>
        <v>0</v>
      </c>
      <c r="W178" s="80">
        <f t="shared" si="47"/>
        <v>0</v>
      </c>
      <c r="X178" s="80">
        <f t="shared" si="47"/>
        <v>0</v>
      </c>
      <c r="Y178" s="80">
        <f t="shared" si="47"/>
        <v>0</v>
      </c>
      <c r="Z178" s="80">
        <f t="shared" si="47"/>
        <v>0</v>
      </c>
      <c r="AA178" s="80">
        <f t="shared" si="47"/>
        <v>0</v>
      </c>
      <c r="AB178" s="80">
        <f t="shared" si="47"/>
        <v>0</v>
      </c>
      <c r="AC178" s="80">
        <f t="shared" si="47"/>
        <v>0</v>
      </c>
      <c r="AD178" s="80">
        <f t="shared" si="47"/>
        <v>0</v>
      </c>
    </row>
    <row r="179" spans="1:30" outlineLevel="1">
      <c r="A179" s="13" t="s">
        <v>625</v>
      </c>
      <c r="B179" s="13" t="s">
        <v>109</v>
      </c>
      <c r="C179" s="44">
        <f>SUM(D179:AD179)</f>
        <v>36.54</v>
      </c>
      <c r="D179" s="56">
        <f t="shared" ref="D179:AD179" si="48">D177*D178</f>
        <v>0</v>
      </c>
      <c r="E179" s="56">
        <f t="shared" si="48"/>
        <v>0</v>
      </c>
      <c r="F179" s="56">
        <f t="shared" si="48"/>
        <v>3.1984615384615376</v>
      </c>
      <c r="G179" s="56">
        <f t="shared" si="48"/>
        <v>5.04</v>
      </c>
      <c r="H179" s="56">
        <f t="shared" si="48"/>
        <v>5.04</v>
      </c>
      <c r="I179" s="56">
        <f t="shared" si="48"/>
        <v>5.04</v>
      </c>
      <c r="J179" s="56">
        <f t="shared" si="48"/>
        <v>5.2580769230769233</v>
      </c>
      <c r="K179" s="56">
        <f t="shared" si="48"/>
        <v>3.2953846153846156</v>
      </c>
      <c r="L179" s="56">
        <f t="shared" si="48"/>
        <v>1.8899999999999997</v>
      </c>
      <c r="M179" s="56">
        <f t="shared" si="48"/>
        <v>1.8899999999999997</v>
      </c>
      <c r="N179" s="56">
        <f t="shared" si="48"/>
        <v>1.8899999999999997</v>
      </c>
      <c r="O179" s="56">
        <f t="shared" si="48"/>
        <v>1.8899999999999997</v>
      </c>
      <c r="P179" s="56">
        <f t="shared" si="48"/>
        <v>2.108076923076923</v>
      </c>
      <c r="Q179" s="56">
        <f t="shared" si="48"/>
        <v>0</v>
      </c>
      <c r="R179" s="56">
        <f t="shared" si="48"/>
        <v>0</v>
      </c>
      <c r="S179" s="56">
        <f t="shared" si="48"/>
        <v>0</v>
      </c>
      <c r="T179" s="56">
        <f t="shared" si="48"/>
        <v>0</v>
      </c>
      <c r="U179" s="56">
        <f t="shared" si="48"/>
        <v>0</v>
      </c>
      <c r="V179" s="56">
        <f t="shared" si="48"/>
        <v>0</v>
      </c>
      <c r="W179" s="56">
        <f t="shared" si="48"/>
        <v>0</v>
      </c>
      <c r="X179" s="56">
        <f t="shared" si="48"/>
        <v>0</v>
      </c>
      <c r="Y179" s="56">
        <f t="shared" si="48"/>
        <v>0</v>
      </c>
      <c r="Z179" s="56">
        <f t="shared" si="48"/>
        <v>0</v>
      </c>
      <c r="AA179" s="56">
        <f t="shared" si="48"/>
        <v>0</v>
      </c>
      <c r="AB179" s="56">
        <f t="shared" si="48"/>
        <v>0</v>
      </c>
      <c r="AC179" s="56">
        <f t="shared" si="48"/>
        <v>0</v>
      </c>
      <c r="AD179" s="56">
        <f t="shared" si="48"/>
        <v>0</v>
      </c>
    </row>
    <row r="180" spans="1:30" ht="33" customHeight="1" outlineLevel="1">
      <c r="A180" s="24" t="s">
        <v>257</v>
      </c>
      <c r="D180" s="15"/>
      <c r="E180" s="15"/>
      <c r="F180" s="15"/>
      <c r="G180" s="15"/>
      <c r="H180" s="15"/>
      <c r="I180" s="15"/>
      <c r="J180" s="15"/>
      <c r="K180" s="15"/>
      <c r="L180" s="15"/>
      <c r="M180" s="15"/>
      <c r="N180" s="15"/>
      <c r="O180" s="15"/>
      <c r="P180" s="15"/>
      <c r="Q180" s="15"/>
      <c r="R180" s="15"/>
      <c r="S180" s="15"/>
      <c r="T180" s="15"/>
      <c r="U180" s="15"/>
      <c r="V180" s="15"/>
      <c r="W180" s="15"/>
      <c r="X180" s="15"/>
      <c r="Y180" s="15"/>
      <c r="Z180" s="15"/>
      <c r="AA180" s="15"/>
      <c r="AB180" s="15"/>
      <c r="AC180" s="15"/>
      <c r="AD180" s="15"/>
    </row>
    <row r="181" spans="1:30" outlineLevel="1">
      <c r="A181" s="13" t="str">
        <f>A170</f>
        <v>copper conc - contained copper - High Case</v>
      </c>
      <c r="B181" s="13" t="s">
        <v>82</v>
      </c>
      <c r="C181" s="44">
        <f>SUM(D181:AD181)</f>
        <v>10522.820352000001</v>
      </c>
      <c r="D181" s="42">
        <f t="shared" ref="D181:AD181" si="49">D170*D100*2.2046</f>
        <v>0</v>
      </c>
      <c r="E181" s="42">
        <f t="shared" si="49"/>
        <v>0</v>
      </c>
      <c r="F181" s="42">
        <f t="shared" si="49"/>
        <v>472.77477415384607</v>
      </c>
      <c r="G181" s="42">
        <f t="shared" si="49"/>
        <v>744.978432</v>
      </c>
      <c r="H181" s="42">
        <f t="shared" si="49"/>
        <v>744.978432</v>
      </c>
      <c r="I181" s="42">
        <f t="shared" si="49"/>
        <v>744.978432</v>
      </c>
      <c r="J181" s="42">
        <f t="shared" si="49"/>
        <v>777.2130756923076</v>
      </c>
      <c r="K181" s="42">
        <f t="shared" si="49"/>
        <v>693.94024615384615</v>
      </c>
      <c r="L181" s="42">
        <f t="shared" si="49"/>
        <v>706.17747200000019</v>
      </c>
      <c r="M181" s="42">
        <f t="shared" si="49"/>
        <v>706.17747200000019</v>
      </c>
      <c r="N181" s="42">
        <f t="shared" si="49"/>
        <v>706.17747200000019</v>
      </c>
      <c r="O181" s="42">
        <f t="shared" si="49"/>
        <v>706.17747200000019</v>
      </c>
      <c r="P181" s="42">
        <f t="shared" si="49"/>
        <v>708.86369230769208</v>
      </c>
      <c r="Q181" s="42">
        <f t="shared" si="49"/>
        <v>682.89689599999997</v>
      </c>
      <c r="R181" s="42">
        <f t="shared" si="49"/>
        <v>682.89689599999997</v>
      </c>
      <c r="S181" s="42">
        <f t="shared" si="49"/>
        <v>682.89689599999997</v>
      </c>
      <c r="T181" s="42">
        <f t="shared" si="49"/>
        <v>761.69269169230779</v>
      </c>
      <c r="U181" s="42">
        <f t="shared" si="49"/>
        <v>0</v>
      </c>
      <c r="V181" s="42">
        <f t="shared" si="49"/>
        <v>0</v>
      </c>
      <c r="W181" s="42">
        <f t="shared" si="49"/>
        <v>0</v>
      </c>
      <c r="X181" s="42">
        <f t="shared" si="49"/>
        <v>0</v>
      </c>
      <c r="Y181" s="42">
        <f t="shared" si="49"/>
        <v>0</v>
      </c>
      <c r="Z181" s="42">
        <f t="shared" si="49"/>
        <v>0</v>
      </c>
      <c r="AA181" s="42">
        <f t="shared" si="49"/>
        <v>0</v>
      </c>
      <c r="AB181" s="42">
        <f t="shared" si="49"/>
        <v>0</v>
      </c>
      <c r="AC181" s="42">
        <f t="shared" si="49"/>
        <v>0</v>
      </c>
      <c r="AD181" s="42">
        <f t="shared" si="49"/>
        <v>0</v>
      </c>
    </row>
    <row r="182" spans="1:30" outlineLevel="1">
      <c r="A182" s="13" t="str">
        <f>A171</f>
        <v>copper conc - contained gold</v>
      </c>
      <c r="B182" s="13" t="s">
        <v>82</v>
      </c>
      <c r="C182" s="44">
        <f>SUM(D182:AD182)</f>
        <v>1458.2958199356915</v>
      </c>
      <c r="D182" s="42">
        <f t="shared" ref="D182:AD183" si="50">D171*D101/1000</f>
        <v>0</v>
      </c>
      <c r="E182" s="42">
        <f t="shared" si="50"/>
        <v>0</v>
      </c>
      <c r="F182" s="42">
        <f t="shared" si="50"/>
        <v>69.134306208261194</v>
      </c>
      <c r="G182" s="42">
        <f t="shared" si="50"/>
        <v>108.93890675241157</v>
      </c>
      <c r="H182" s="42">
        <f t="shared" si="50"/>
        <v>108.93890675241157</v>
      </c>
      <c r="I182" s="42">
        <f t="shared" si="50"/>
        <v>108.93890675241157</v>
      </c>
      <c r="J182" s="42">
        <f t="shared" si="50"/>
        <v>113.65260944842939</v>
      </c>
      <c r="K182" s="42">
        <f t="shared" si="50"/>
        <v>98.225946079643833</v>
      </c>
      <c r="L182" s="42">
        <f t="shared" si="50"/>
        <v>96.559485530546624</v>
      </c>
      <c r="M182" s="42">
        <f t="shared" si="50"/>
        <v>96.559485530546624</v>
      </c>
      <c r="N182" s="42">
        <f t="shared" si="50"/>
        <v>96.559485530546624</v>
      </c>
      <c r="O182" s="42">
        <f t="shared" si="50"/>
        <v>96.559485530546624</v>
      </c>
      <c r="P182" s="42">
        <f t="shared" si="50"/>
        <v>97.416522384368008</v>
      </c>
      <c r="Q182" s="42">
        <f t="shared" si="50"/>
        <v>89.131832797427649</v>
      </c>
      <c r="R182" s="42">
        <f t="shared" si="50"/>
        <v>89.131832797427649</v>
      </c>
      <c r="S182" s="42">
        <f t="shared" si="50"/>
        <v>89.131832797427649</v>
      </c>
      <c r="T182" s="42">
        <f t="shared" si="50"/>
        <v>99.416275043284699</v>
      </c>
      <c r="U182" s="42">
        <f t="shared" si="50"/>
        <v>0</v>
      </c>
      <c r="V182" s="42">
        <f t="shared" si="50"/>
        <v>0</v>
      </c>
      <c r="W182" s="42">
        <f t="shared" si="50"/>
        <v>0</v>
      </c>
      <c r="X182" s="42">
        <f t="shared" si="50"/>
        <v>0</v>
      </c>
      <c r="Y182" s="42">
        <f t="shared" si="50"/>
        <v>0</v>
      </c>
      <c r="Z182" s="42">
        <f t="shared" si="50"/>
        <v>0</v>
      </c>
      <c r="AA182" s="42">
        <f t="shared" si="50"/>
        <v>0</v>
      </c>
      <c r="AB182" s="42">
        <f t="shared" si="50"/>
        <v>0</v>
      </c>
      <c r="AC182" s="42">
        <f t="shared" si="50"/>
        <v>0</v>
      </c>
      <c r="AD182" s="42">
        <f t="shared" si="50"/>
        <v>0</v>
      </c>
    </row>
    <row r="183" spans="1:30" outlineLevel="1">
      <c r="A183" s="13" t="str">
        <f>A172</f>
        <v>copper conc - contained silver</v>
      </c>
      <c r="B183" s="13" t="s">
        <v>82</v>
      </c>
      <c r="C183" s="44">
        <f>SUM(D183:AD183)</f>
        <v>60.610932475884248</v>
      </c>
      <c r="D183" s="42">
        <f t="shared" si="50"/>
        <v>0</v>
      </c>
      <c r="E183" s="42">
        <f t="shared" si="50"/>
        <v>0</v>
      </c>
      <c r="F183" s="42">
        <f t="shared" si="50"/>
        <v>5.3054662379421202</v>
      </c>
      <c r="G183" s="42">
        <f t="shared" si="50"/>
        <v>8.360128617363344</v>
      </c>
      <c r="H183" s="42">
        <f t="shared" si="50"/>
        <v>8.360128617363344</v>
      </c>
      <c r="I183" s="42">
        <f t="shared" si="50"/>
        <v>8.360128617363344</v>
      </c>
      <c r="J183" s="42">
        <f t="shared" si="50"/>
        <v>8.7218649517684899</v>
      </c>
      <c r="K183" s="42">
        <f t="shared" si="50"/>
        <v>5.4662379421221869</v>
      </c>
      <c r="L183" s="42">
        <f t="shared" si="50"/>
        <v>3.135048231511254</v>
      </c>
      <c r="M183" s="42">
        <f t="shared" si="50"/>
        <v>3.135048231511254</v>
      </c>
      <c r="N183" s="42">
        <f t="shared" si="50"/>
        <v>3.135048231511254</v>
      </c>
      <c r="O183" s="42">
        <f t="shared" si="50"/>
        <v>3.135048231511254</v>
      </c>
      <c r="P183" s="42">
        <f t="shared" si="50"/>
        <v>3.496784565916399</v>
      </c>
      <c r="Q183" s="42">
        <f t="shared" si="50"/>
        <v>0</v>
      </c>
      <c r="R183" s="42">
        <f t="shared" si="50"/>
        <v>0</v>
      </c>
      <c r="S183" s="42">
        <f t="shared" si="50"/>
        <v>0</v>
      </c>
      <c r="T183" s="42">
        <f t="shared" si="50"/>
        <v>0</v>
      </c>
      <c r="U183" s="42">
        <f t="shared" si="50"/>
        <v>0</v>
      </c>
      <c r="V183" s="42">
        <f t="shared" si="50"/>
        <v>0</v>
      </c>
      <c r="W183" s="42">
        <f t="shared" si="50"/>
        <v>0</v>
      </c>
      <c r="X183" s="42">
        <f t="shared" si="50"/>
        <v>0</v>
      </c>
      <c r="Y183" s="42">
        <f t="shared" si="50"/>
        <v>0</v>
      </c>
      <c r="Z183" s="42">
        <f t="shared" si="50"/>
        <v>0</v>
      </c>
      <c r="AA183" s="42">
        <f t="shared" si="50"/>
        <v>0</v>
      </c>
      <c r="AB183" s="42">
        <f t="shared" si="50"/>
        <v>0</v>
      </c>
      <c r="AC183" s="42">
        <f t="shared" si="50"/>
        <v>0</v>
      </c>
      <c r="AD183" s="42">
        <f t="shared" si="50"/>
        <v>0</v>
      </c>
    </row>
    <row r="184" spans="1:30" outlineLevel="1">
      <c r="A184" s="13" t="str">
        <f>A179</f>
        <v>moly concentrate - contained moly - High Case</v>
      </c>
      <c r="B184" s="13" t="s">
        <v>82</v>
      </c>
      <c r="C184" s="44">
        <f>SUM(D184:AD184)</f>
        <v>1611.1216799999997</v>
      </c>
      <c r="D184" s="42">
        <f t="shared" ref="D184:AD184" si="51">D179*2.2046*D103</f>
        <v>0</v>
      </c>
      <c r="E184" s="42">
        <f t="shared" si="51"/>
        <v>0</v>
      </c>
      <c r="F184" s="42">
        <f t="shared" si="51"/>
        <v>141.02656615384612</v>
      </c>
      <c r="G184" s="42">
        <f t="shared" si="51"/>
        <v>222.22368000000003</v>
      </c>
      <c r="H184" s="42">
        <f t="shared" si="51"/>
        <v>222.22368000000003</v>
      </c>
      <c r="I184" s="42">
        <f t="shared" si="51"/>
        <v>222.22368000000003</v>
      </c>
      <c r="J184" s="42">
        <f t="shared" si="51"/>
        <v>231.83912769230773</v>
      </c>
      <c r="K184" s="42">
        <f t="shared" si="51"/>
        <v>145.30009846153848</v>
      </c>
      <c r="L184" s="42">
        <f t="shared" si="51"/>
        <v>83.333879999999994</v>
      </c>
      <c r="M184" s="42">
        <f t="shared" si="51"/>
        <v>83.333879999999994</v>
      </c>
      <c r="N184" s="42">
        <f t="shared" si="51"/>
        <v>83.333879999999994</v>
      </c>
      <c r="O184" s="42">
        <f t="shared" si="51"/>
        <v>83.333879999999994</v>
      </c>
      <c r="P184" s="42">
        <f t="shared" si="51"/>
        <v>92.949327692307691</v>
      </c>
      <c r="Q184" s="42">
        <f t="shared" si="51"/>
        <v>0</v>
      </c>
      <c r="R184" s="42">
        <f t="shared" si="51"/>
        <v>0</v>
      </c>
      <c r="S184" s="42">
        <f t="shared" si="51"/>
        <v>0</v>
      </c>
      <c r="T184" s="42">
        <f t="shared" si="51"/>
        <v>0</v>
      </c>
      <c r="U184" s="42">
        <f t="shared" si="51"/>
        <v>0</v>
      </c>
      <c r="V184" s="42">
        <f t="shared" si="51"/>
        <v>0</v>
      </c>
      <c r="W184" s="42">
        <f t="shared" si="51"/>
        <v>0</v>
      </c>
      <c r="X184" s="42">
        <f t="shared" si="51"/>
        <v>0</v>
      </c>
      <c r="Y184" s="42">
        <f t="shared" si="51"/>
        <v>0</v>
      </c>
      <c r="Z184" s="42">
        <f t="shared" si="51"/>
        <v>0</v>
      </c>
      <c r="AA184" s="42">
        <f t="shared" si="51"/>
        <v>0</v>
      </c>
      <c r="AB184" s="42">
        <f t="shared" si="51"/>
        <v>0</v>
      </c>
      <c r="AC184" s="42">
        <f t="shared" si="51"/>
        <v>0</v>
      </c>
      <c r="AD184" s="42">
        <f t="shared" si="51"/>
        <v>0</v>
      </c>
    </row>
    <row r="185" spans="1:30" outlineLevel="1">
      <c r="A185" s="13" t="s">
        <v>121</v>
      </c>
      <c r="C185" s="55">
        <f>SUM(D185:AD185)</f>
        <v>13652.848784411575</v>
      </c>
      <c r="D185" s="70">
        <f t="shared" ref="D185:AD185" si="52">SUM(D181:D184)</f>
        <v>0</v>
      </c>
      <c r="E185" s="70">
        <f t="shared" si="52"/>
        <v>0</v>
      </c>
      <c r="F185" s="70">
        <f t="shared" si="52"/>
        <v>688.24111275389555</v>
      </c>
      <c r="G185" s="70">
        <f t="shared" si="52"/>
        <v>1084.5011473697748</v>
      </c>
      <c r="H185" s="70">
        <f t="shared" si="52"/>
        <v>1084.5011473697748</v>
      </c>
      <c r="I185" s="70">
        <f t="shared" si="52"/>
        <v>1084.5011473697748</v>
      </c>
      <c r="J185" s="70">
        <f t="shared" si="52"/>
        <v>1131.4266777848131</v>
      </c>
      <c r="K185" s="70">
        <f t="shared" si="52"/>
        <v>942.93252863715065</v>
      </c>
      <c r="L185" s="70">
        <f t="shared" si="52"/>
        <v>889.20588576205807</v>
      </c>
      <c r="M185" s="70">
        <f t="shared" si="52"/>
        <v>889.20588576205807</v>
      </c>
      <c r="N185" s="70">
        <f t="shared" si="52"/>
        <v>889.20588576205807</v>
      </c>
      <c r="O185" s="70">
        <f t="shared" si="52"/>
        <v>889.20588576205807</v>
      </c>
      <c r="P185" s="70">
        <f t="shared" si="52"/>
        <v>902.72632695028415</v>
      </c>
      <c r="Q185" s="70">
        <f t="shared" si="52"/>
        <v>772.02872879742768</v>
      </c>
      <c r="R185" s="70">
        <f t="shared" si="52"/>
        <v>772.02872879742768</v>
      </c>
      <c r="S185" s="70">
        <f t="shared" si="52"/>
        <v>772.02872879742768</v>
      </c>
      <c r="T185" s="70">
        <f t="shared" si="52"/>
        <v>861.1089667355925</v>
      </c>
      <c r="U185" s="70">
        <f t="shared" si="52"/>
        <v>0</v>
      </c>
      <c r="V185" s="70">
        <f t="shared" si="52"/>
        <v>0</v>
      </c>
      <c r="W185" s="70">
        <f t="shared" si="52"/>
        <v>0</v>
      </c>
      <c r="X185" s="70">
        <f t="shared" si="52"/>
        <v>0</v>
      </c>
      <c r="Y185" s="70">
        <f t="shared" si="52"/>
        <v>0</v>
      </c>
      <c r="Z185" s="70">
        <f t="shared" si="52"/>
        <v>0</v>
      </c>
      <c r="AA185" s="70">
        <f t="shared" si="52"/>
        <v>0</v>
      </c>
      <c r="AB185" s="70">
        <f t="shared" si="52"/>
        <v>0</v>
      </c>
      <c r="AC185" s="70">
        <f t="shared" si="52"/>
        <v>0</v>
      </c>
      <c r="AD185" s="70">
        <f t="shared" si="52"/>
        <v>0</v>
      </c>
    </row>
    <row r="186" spans="1:30" ht="51" customHeight="1">
      <c r="A186" s="23" t="s">
        <v>198</v>
      </c>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row>
    <row r="187" spans="1:30" s="8" customFormat="1" ht="15.5" outlineLevel="1">
      <c r="A187" s="242" t="str">
        <f>'Expected NPV &amp; Common Data'!A$36</f>
        <v>Calendar Year --&gt;</v>
      </c>
      <c r="B187" s="243" t="str">
        <f>'Expected NPV &amp; Common Data'!B$36</f>
        <v>units</v>
      </c>
      <c r="C187" s="244" t="str">
        <f>'Expected NPV &amp; Common Data'!C$36</f>
        <v>Total</v>
      </c>
      <c r="D187" s="245">
        <f>'Expected NPV &amp; Common Data'!D$36</f>
        <v>2027</v>
      </c>
      <c r="E187" s="245">
        <f>'Expected NPV &amp; Common Data'!E$36</f>
        <v>2028</v>
      </c>
      <c r="F187" s="245">
        <f>'Expected NPV &amp; Common Data'!F$36</f>
        <v>2029</v>
      </c>
      <c r="G187" s="245">
        <f>'Expected NPV &amp; Common Data'!G$36</f>
        <v>2030</v>
      </c>
      <c r="H187" s="245">
        <f>'Expected NPV &amp; Common Data'!H$36</f>
        <v>2031</v>
      </c>
      <c r="I187" s="245">
        <f>'Expected NPV &amp; Common Data'!I$36</f>
        <v>2032</v>
      </c>
      <c r="J187" s="245">
        <f>'Expected NPV &amp; Common Data'!J$36</f>
        <v>2033</v>
      </c>
      <c r="K187" s="245">
        <f>'Expected NPV &amp; Common Data'!K$36</f>
        <v>2034</v>
      </c>
      <c r="L187" s="245">
        <f>'Expected NPV &amp; Common Data'!L$36</f>
        <v>2035</v>
      </c>
      <c r="M187" s="245">
        <f>'Expected NPV &amp; Common Data'!M$36</f>
        <v>2036</v>
      </c>
      <c r="N187" s="245">
        <f>'Expected NPV &amp; Common Data'!N$36</f>
        <v>2037</v>
      </c>
      <c r="O187" s="245">
        <f>'Expected NPV &amp; Common Data'!O$36</f>
        <v>2038</v>
      </c>
      <c r="P187" s="245">
        <f>'Expected NPV &amp; Common Data'!P$36</f>
        <v>2039</v>
      </c>
      <c r="Q187" s="245">
        <f>'Expected NPV &amp; Common Data'!Q$36</f>
        <v>2040</v>
      </c>
      <c r="R187" s="245">
        <f>'Expected NPV &amp; Common Data'!R$36</f>
        <v>2041</v>
      </c>
      <c r="S187" s="245">
        <f>'Expected NPV &amp; Common Data'!S$36</f>
        <v>2042</v>
      </c>
      <c r="T187" s="245">
        <f>'Expected NPV &amp; Common Data'!T$36</f>
        <v>2043</v>
      </c>
      <c r="U187" s="245">
        <f>'Expected NPV &amp; Common Data'!U$36</f>
        <v>2044</v>
      </c>
      <c r="V187" s="245">
        <f>'Expected NPV &amp; Common Data'!V$36</f>
        <v>2045</v>
      </c>
      <c r="W187" s="245">
        <f>'Expected NPV &amp; Common Data'!W$36</f>
        <v>2046</v>
      </c>
      <c r="X187" s="245">
        <f>'Expected NPV &amp; Common Data'!X$36</f>
        <v>2047</v>
      </c>
      <c r="Y187" s="245">
        <f>'Expected NPV &amp; Common Data'!Y$36</f>
        <v>2048</v>
      </c>
      <c r="Z187" s="245">
        <f>'Expected NPV &amp; Common Data'!Z$36</f>
        <v>2049</v>
      </c>
      <c r="AA187" s="245">
        <f>'Expected NPV &amp; Common Data'!AA$36</f>
        <v>2050</v>
      </c>
      <c r="AB187" s="245">
        <f>'Expected NPV &amp; Common Data'!AB$36</f>
        <v>2051</v>
      </c>
      <c r="AC187" s="245">
        <f>'Expected NPV &amp; Common Data'!AC$36</f>
        <v>2052</v>
      </c>
      <c r="AD187" s="245">
        <f>'Expected NPV &amp; Common Data'!AD$36</f>
        <v>2053</v>
      </c>
    </row>
    <row r="188" spans="1:30" ht="33" customHeight="1" outlineLevel="1">
      <c r="A188" s="24" t="s">
        <v>199</v>
      </c>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row>
    <row r="189" spans="1:30" outlineLevel="1">
      <c r="A189" s="134" t="s">
        <v>571</v>
      </c>
      <c r="C189" s="44"/>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row>
    <row r="190" spans="1:30" ht="14.4" customHeight="1" outlineLevel="1">
      <c r="A190" s="214" t="s">
        <v>95</v>
      </c>
      <c r="B190" s="214" t="s">
        <v>8</v>
      </c>
      <c r="C190" s="57"/>
      <c r="D190" s="219">
        <v>9</v>
      </c>
      <c r="E190" s="219">
        <f t="shared" ref="E190:AD190" si="53">D190</f>
        <v>9</v>
      </c>
      <c r="F190" s="219">
        <f t="shared" si="53"/>
        <v>9</v>
      </c>
      <c r="G190" s="219">
        <f t="shared" si="53"/>
        <v>9</v>
      </c>
      <c r="H190" s="219">
        <f t="shared" si="53"/>
        <v>9</v>
      </c>
      <c r="I190" s="219">
        <f t="shared" si="53"/>
        <v>9</v>
      </c>
      <c r="J190" s="219">
        <f t="shared" si="53"/>
        <v>9</v>
      </c>
      <c r="K190" s="219">
        <f t="shared" si="53"/>
        <v>9</v>
      </c>
      <c r="L190" s="219">
        <f t="shared" si="53"/>
        <v>9</v>
      </c>
      <c r="M190" s="219">
        <f t="shared" si="53"/>
        <v>9</v>
      </c>
      <c r="N190" s="219">
        <f t="shared" si="53"/>
        <v>9</v>
      </c>
      <c r="O190" s="219">
        <f t="shared" si="53"/>
        <v>9</v>
      </c>
      <c r="P190" s="219">
        <f t="shared" si="53"/>
        <v>9</v>
      </c>
      <c r="Q190" s="219">
        <f t="shared" si="53"/>
        <v>9</v>
      </c>
      <c r="R190" s="219">
        <f t="shared" si="53"/>
        <v>9</v>
      </c>
      <c r="S190" s="219">
        <f t="shared" si="53"/>
        <v>9</v>
      </c>
      <c r="T190" s="219">
        <f t="shared" si="53"/>
        <v>9</v>
      </c>
      <c r="U190" s="219">
        <f t="shared" si="53"/>
        <v>9</v>
      </c>
      <c r="V190" s="219">
        <f t="shared" si="53"/>
        <v>9</v>
      </c>
      <c r="W190" s="219">
        <f t="shared" si="53"/>
        <v>9</v>
      </c>
      <c r="X190" s="219">
        <f t="shared" si="53"/>
        <v>9</v>
      </c>
      <c r="Y190" s="219">
        <f t="shared" si="53"/>
        <v>9</v>
      </c>
      <c r="Z190" s="219">
        <f t="shared" si="53"/>
        <v>9</v>
      </c>
      <c r="AA190" s="219">
        <f t="shared" si="53"/>
        <v>9</v>
      </c>
      <c r="AB190" s="219">
        <f t="shared" si="53"/>
        <v>9</v>
      </c>
      <c r="AC190" s="219">
        <f t="shared" si="53"/>
        <v>9</v>
      </c>
      <c r="AD190" s="219">
        <f t="shared" si="53"/>
        <v>9</v>
      </c>
    </row>
    <row r="191" spans="1:30" ht="13.5" outlineLevel="1" thickBot="1">
      <c r="A191" s="13" t="s">
        <v>256</v>
      </c>
      <c r="B191" s="13" t="s">
        <v>81</v>
      </c>
      <c r="C191" s="44"/>
      <c r="D191" s="42">
        <f t="shared" ref="D191:AD191" si="54">IF(E166=0,0,D166*D190/52)</f>
        <v>0</v>
      </c>
      <c r="E191" s="42">
        <f t="shared" si="54"/>
        <v>0</v>
      </c>
      <c r="F191" s="42">
        <f t="shared" si="54"/>
        <v>23.945943882420302</v>
      </c>
      <c r="G191" s="42">
        <f t="shared" si="54"/>
        <v>37.733002481389576</v>
      </c>
      <c r="H191" s="42">
        <f t="shared" si="54"/>
        <v>37.733002481389576</v>
      </c>
      <c r="I191" s="42">
        <f t="shared" si="54"/>
        <v>37.733002481389576</v>
      </c>
      <c r="J191" s="42">
        <f t="shared" si="54"/>
        <v>39.365680473372777</v>
      </c>
      <c r="K191" s="42">
        <f t="shared" si="54"/>
        <v>35.147928994082839</v>
      </c>
      <c r="L191" s="42">
        <f t="shared" si="54"/>
        <v>35.767741935483876</v>
      </c>
      <c r="M191" s="42">
        <f t="shared" si="54"/>
        <v>35.767741935483876</v>
      </c>
      <c r="N191" s="42">
        <f t="shared" si="54"/>
        <v>35.767741935483876</v>
      </c>
      <c r="O191" s="42">
        <f t="shared" si="54"/>
        <v>35.767741935483876</v>
      </c>
      <c r="P191" s="42">
        <f t="shared" si="54"/>
        <v>35.903798434815798</v>
      </c>
      <c r="Q191" s="42">
        <f t="shared" si="54"/>
        <v>34.588585607940445</v>
      </c>
      <c r="R191" s="42">
        <f t="shared" si="54"/>
        <v>34.588585607940445</v>
      </c>
      <c r="S191" s="42">
        <f t="shared" si="54"/>
        <v>34.588585607940445</v>
      </c>
      <c r="T191" s="42">
        <f t="shared" si="54"/>
        <v>0</v>
      </c>
      <c r="U191" s="42">
        <f t="shared" si="54"/>
        <v>0</v>
      </c>
      <c r="V191" s="42">
        <f t="shared" si="54"/>
        <v>0</v>
      </c>
      <c r="W191" s="42">
        <f t="shared" si="54"/>
        <v>0</v>
      </c>
      <c r="X191" s="42">
        <f t="shared" si="54"/>
        <v>0</v>
      </c>
      <c r="Y191" s="42">
        <f t="shared" si="54"/>
        <v>0</v>
      </c>
      <c r="Z191" s="42">
        <f t="shared" si="54"/>
        <v>0</v>
      </c>
      <c r="AA191" s="42">
        <f t="shared" si="54"/>
        <v>0</v>
      </c>
      <c r="AB191" s="42">
        <f t="shared" si="54"/>
        <v>0</v>
      </c>
      <c r="AC191" s="42">
        <f t="shared" si="54"/>
        <v>0</v>
      </c>
      <c r="AD191" s="42">
        <f t="shared" si="54"/>
        <v>0</v>
      </c>
    </row>
    <row r="192" spans="1:30" s="14" customFormat="1" ht="13.5" outlineLevel="1" thickBot="1">
      <c r="A192" s="14" t="s">
        <v>80</v>
      </c>
      <c r="B192" s="13" t="s">
        <v>81</v>
      </c>
      <c r="C192" s="44">
        <f>SUM(D192:AD192)</f>
        <v>3079.4322580645166</v>
      </c>
      <c r="D192" s="58">
        <f>D166-D191</f>
        <v>0</v>
      </c>
      <c r="E192" s="55">
        <f t="shared" ref="E192:AD192" si="55">D191+E166-E191</f>
        <v>0</v>
      </c>
      <c r="F192" s="55">
        <f t="shared" si="55"/>
        <v>114.40839854934146</v>
      </c>
      <c r="G192" s="55">
        <f t="shared" si="55"/>
        <v>204.22584462683716</v>
      </c>
      <c r="H192" s="55">
        <f t="shared" si="55"/>
        <v>218.01290322580644</v>
      </c>
      <c r="I192" s="55">
        <f t="shared" si="55"/>
        <v>218.01290322580644</v>
      </c>
      <c r="J192" s="55">
        <f t="shared" si="55"/>
        <v>225.81347585417063</v>
      </c>
      <c r="K192" s="55">
        <f t="shared" si="55"/>
        <v>207.29467455621301</v>
      </c>
      <c r="L192" s="55">
        <f t="shared" si="55"/>
        <v>206.03825157472801</v>
      </c>
      <c r="M192" s="55">
        <f t="shared" si="55"/>
        <v>206.65806451612906</v>
      </c>
      <c r="N192" s="55">
        <f t="shared" si="55"/>
        <v>206.65806451612906</v>
      </c>
      <c r="O192" s="55">
        <f t="shared" si="55"/>
        <v>206.65806451612906</v>
      </c>
      <c r="P192" s="55">
        <f t="shared" si="55"/>
        <v>207.30811223515937</v>
      </c>
      <c r="Q192" s="55">
        <f t="shared" si="55"/>
        <v>201.16037411719793</v>
      </c>
      <c r="R192" s="55">
        <f t="shared" si="55"/>
        <v>199.84516129032258</v>
      </c>
      <c r="S192" s="55">
        <f t="shared" si="55"/>
        <v>199.84516129032258</v>
      </c>
      <c r="T192" s="55">
        <f t="shared" si="55"/>
        <v>257.49280397022335</v>
      </c>
      <c r="U192" s="55">
        <f t="shared" si="55"/>
        <v>0</v>
      </c>
      <c r="V192" s="55">
        <f t="shared" si="55"/>
        <v>0</v>
      </c>
      <c r="W192" s="55">
        <f t="shared" si="55"/>
        <v>0</v>
      </c>
      <c r="X192" s="55">
        <f t="shared" si="55"/>
        <v>0</v>
      </c>
      <c r="Y192" s="55">
        <f t="shared" si="55"/>
        <v>0</v>
      </c>
      <c r="Z192" s="55">
        <f t="shared" si="55"/>
        <v>0</v>
      </c>
      <c r="AA192" s="55">
        <f t="shared" si="55"/>
        <v>0</v>
      </c>
      <c r="AB192" s="55">
        <f t="shared" si="55"/>
        <v>0</v>
      </c>
      <c r="AC192" s="55">
        <f t="shared" si="55"/>
        <v>0</v>
      </c>
      <c r="AD192" s="55">
        <f t="shared" si="55"/>
        <v>0</v>
      </c>
    </row>
    <row r="193" spans="1:30" outlineLevel="1">
      <c r="A193" s="134" t="s">
        <v>547</v>
      </c>
      <c r="C193" s="44"/>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row>
    <row r="194" spans="1:30" outlineLevel="1">
      <c r="A194" s="214" t="s">
        <v>44</v>
      </c>
      <c r="B194" s="214" t="s">
        <v>119</v>
      </c>
      <c r="C194" s="258"/>
      <c r="D194" s="220">
        <v>0.1</v>
      </c>
      <c r="E194" s="220">
        <f t="shared" ref="E194:AD194" si="56">D194</f>
        <v>0.1</v>
      </c>
      <c r="F194" s="220">
        <f t="shared" si="56"/>
        <v>0.1</v>
      </c>
      <c r="G194" s="220">
        <f t="shared" si="56"/>
        <v>0.1</v>
      </c>
      <c r="H194" s="220">
        <f t="shared" si="56"/>
        <v>0.1</v>
      </c>
      <c r="I194" s="220">
        <f t="shared" si="56"/>
        <v>0.1</v>
      </c>
      <c r="J194" s="220">
        <f t="shared" si="56"/>
        <v>0.1</v>
      </c>
      <c r="K194" s="220">
        <f t="shared" si="56"/>
        <v>0.1</v>
      </c>
      <c r="L194" s="220">
        <f t="shared" si="56"/>
        <v>0.1</v>
      </c>
      <c r="M194" s="220">
        <f t="shared" si="56"/>
        <v>0.1</v>
      </c>
      <c r="N194" s="220">
        <f t="shared" si="56"/>
        <v>0.1</v>
      </c>
      <c r="O194" s="220">
        <f t="shared" si="56"/>
        <v>0.1</v>
      </c>
      <c r="P194" s="220">
        <f t="shared" si="56"/>
        <v>0.1</v>
      </c>
      <c r="Q194" s="220">
        <f t="shared" si="56"/>
        <v>0.1</v>
      </c>
      <c r="R194" s="220">
        <f t="shared" si="56"/>
        <v>0.1</v>
      </c>
      <c r="S194" s="220">
        <f t="shared" si="56"/>
        <v>0.1</v>
      </c>
      <c r="T194" s="220">
        <f t="shared" si="56"/>
        <v>0.1</v>
      </c>
      <c r="U194" s="220">
        <f t="shared" si="56"/>
        <v>0.1</v>
      </c>
      <c r="V194" s="220">
        <f t="shared" si="56"/>
        <v>0.1</v>
      </c>
      <c r="W194" s="220">
        <f t="shared" si="56"/>
        <v>0.1</v>
      </c>
      <c r="X194" s="220">
        <f t="shared" si="56"/>
        <v>0.1</v>
      </c>
      <c r="Y194" s="220">
        <f t="shared" si="56"/>
        <v>0.1</v>
      </c>
      <c r="Z194" s="220">
        <f t="shared" si="56"/>
        <v>0.1</v>
      </c>
      <c r="AA194" s="220">
        <f t="shared" si="56"/>
        <v>0.1</v>
      </c>
      <c r="AB194" s="220">
        <f t="shared" si="56"/>
        <v>0.1</v>
      </c>
      <c r="AC194" s="220">
        <f t="shared" si="56"/>
        <v>0.1</v>
      </c>
      <c r="AD194" s="220">
        <f t="shared" si="56"/>
        <v>0.1</v>
      </c>
    </row>
    <row r="195" spans="1:30" outlineLevel="1">
      <c r="A195" s="13" t="s">
        <v>258</v>
      </c>
      <c r="B195" s="13" t="s">
        <v>85</v>
      </c>
      <c r="C195" s="44">
        <f>SUM(D195:AD195)</f>
        <v>3421.5913978494632</v>
      </c>
      <c r="D195" s="42">
        <f t="shared" ref="D195:AD195" si="57">D192/(1-D194)</f>
        <v>0</v>
      </c>
      <c r="E195" s="42">
        <f t="shared" si="57"/>
        <v>0</v>
      </c>
      <c r="F195" s="42">
        <f t="shared" si="57"/>
        <v>127.12044283260161</v>
      </c>
      <c r="G195" s="42">
        <f t="shared" si="57"/>
        <v>226.91760514093016</v>
      </c>
      <c r="H195" s="42">
        <f t="shared" si="57"/>
        <v>242.23655913978493</v>
      </c>
      <c r="I195" s="42">
        <f t="shared" si="57"/>
        <v>242.23655913978493</v>
      </c>
      <c r="J195" s="42">
        <f t="shared" si="57"/>
        <v>250.9038620601896</v>
      </c>
      <c r="K195" s="42">
        <f t="shared" si="57"/>
        <v>230.32741617357001</v>
      </c>
      <c r="L195" s="42">
        <f t="shared" si="57"/>
        <v>228.93139063858666</v>
      </c>
      <c r="M195" s="42">
        <f t="shared" si="57"/>
        <v>229.62007168458783</v>
      </c>
      <c r="N195" s="42">
        <f t="shared" si="57"/>
        <v>229.62007168458783</v>
      </c>
      <c r="O195" s="42">
        <f t="shared" si="57"/>
        <v>229.62007168458783</v>
      </c>
      <c r="P195" s="42">
        <f t="shared" si="57"/>
        <v>230.34234692795485</v>
      </c>
      <c r="Q195" s="42">
        <f t="shared" si="57"/>
        <v>223.51152679688659</v>
      </c>
      <c r="R195" s="42">
        <f t="shared" si="57"/>
        <v>222.05017921146953</v>
      </c>
      <c r="S195" s="42">
        <f t="shared" si="57"/>
        <v>222.05017921146953</v>
      </c>
      <c r="T195" s="42">
        <f t="shared" si="57"/>
        <v>286.10311552247038</v>
      </c>
      <c r="U195" s="42">
        <f t="shared" si="57"/>
        <v>0</v>
      </c>
      <c r="V195" s="42">
        <f t="shared" si="57"/>
        <v>0</v>
      </c>
      <c r="W195" s="42">
        <f t="shared" si="57"/>
        <v>0</v>
      </c>
      <c r="X195" s="42">
        <f t="shared" si="57"/>
        <v>0</v>
      </c>
      <c r="Y195" s="42">
        <f t="shared" si="57"/>
        <v>0</v>
      </c>
      <c r="Z195" s="42">
        <f t="shared" si="57"/>
        <v>0</v>
      </c>
      <c r="AA195" s="42">
        <f t="shared" si="57"/>
        <v>0</v>
      </c>
      <c r="AB195" s="42">
        <f t="shared" si="57"/>
        <v>0</v>
      </c>
      <c r="AC195" s="42">
        <f t="shared" si="57"/>
        <v>0</v>
      </c>
      <c r="AD195" s="42">
        <f t="shared" si="57"/>
        <v>0</v>
      </c>
    </row>
    <row r="196" spans="1:30" outlineLevel="1">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row>
    <row r="197" spans="1:30" ht="33" customHeight="1" outlineLevel="1">
      <c r="A197" s="24" t="s">
        <v>200</v>
      </c>
      <c r="D197" s="15"/>
      <c r="E197" s="15"/>
      <c r="F197" s="15"/>
      <c r="G197" s="15"/>
      <c r="H197" s="15"/>
      <c r="I197" s="15"/>
      <c r="J197" s="15"/>
      <c r="K197" s="15"/>
      <c r="L197" s="15"/>
      <c r="M197" s="15"/>
      <c r="N197" s="15"/>
      <c r="O197" s="15"/>
      <c r="P197" s="15"/>
      <c r="Q197" s="15"/>
      <c r="R197" s="15"/>
      <c r="S197" s="15"/>
      <c r="T197" s="15"/>
      <c r="U197" s="15"/>
      <c r="V197" s="15"/>
      <c r="W197" s="15"/>
      <c r="X197" s="15"/>
      <c r="Y197" s="15"/>
      <c r="Z197" s="15"/>
      <c r="AA197" s="15"/>
      <c r="AB197" s="15"/>
      <c r="AC197" s="15"/>
      <c r="AD197" s="15"/>
    </row>
    <row r="198" spans="1:30" outlineLevel="1">
      <c r="A198" s="134" t="s">
        <v>572</v>
      </c>
      <c r="C198" s="44"/>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row>
    <row r="199" spans="1:30" ht="14.4" customHeight="1" outlineLevel="1">
      <c r="A199" s="214" t="s">
        <v>96</v>
      </c>
      <c r="B199" s="214" t="s">
        <v>8</v>
      </c>
      <c r="C199" s="57"/>
      <c r="D199" s="219">
        <v>12</v>
      </c>
      <c r="E199" s="219">
        <f t="shared" ref="E199:AD199" si="58">D199</f>
        <v>12</v>
      </c>
      <c r="F199" s="219">
        <f t="shared" si="58"/>
        <v>12</v>
      </c>
      <c r="G199" s="219">
        <f t="shared" si="58"/>
        <v>12</v>
      </c>
      <c r="H199" s="219">
        <f t="shared" si="58"/>
        <v>12</v>
      </c>
      <c r="I199" s="219">
        <f t="shared" si="58"/>
        <v>12</v>
      </c>
      <c r="J199" s="219">
        <f t="shared" si="58"/>
        <v>12</v>
      </c>
      <c r="K199" s="219">
        <f t="shared" si="58"/>
        <v>12</v>
      </c>
      <c r="L199" s="219">
        <f t="shared" si="58"/>
        <v>12</v>
      </c>
      <c r="M199" s="219">
        <f t="shared" si="58"/>
        <v>12</v>
      </c>
      <c r="N199" s="219">
        <f t="shared" si="58"/>
        <v>12</v>
      </c>
      <c r="O199" s="219">
        <f t="shared" si="58"/>
        <v>12</v>
      </c>
      <c r="P199" s="219">
        <f t="shared" si="58"/>
        <v>12</v>
      </c>
      <c r="Q199" s="219">
        <f t="shared" si="58"/>
        <v>12</v>
      </c>
      <c r="R199" s="219">
        <f t="shared" si="58"/>
        <v>12</v>
      </c>
      <c r="S199" s="219">
        <f t="shared" si="58"/>
        <v>12</v>
      </c>
      <c r="T199" s="219">
        <f t="shared" si="58"/>
        <v>12</v>
      </c>
      <c r="U199" s="219">
        <f t="shared" si="58"/>
        <v>12</v>
      </c>
      <c r="V199" s="219">
        <f t="shared" si="58"/>
        <v>12</v>
      </c>
      <c r="W199" s="219">
        <f t="shared" si="58"/>
        <v>12</v>
      </c>
      <c r="X199" s="219">
        <f t="shared" si="58"/>
        <v>12</v>
      </c>
      <c r="Y199" s="219">
        <f t="shared" si="58"/>
        <v>12</v>
      </c>
      <c r="Z199" s="219">
        <f t="shared" si="58"/>
        <v>12</v>
      </c>
      <c r="AA199" s="219">
        <f t="shared" si="58"/>
        <v>12</v>
      </c>
      <c r="AB199" s="219">
        <f t="shared" si="58"/>
        <v>12</v>
      </c>
      <c r="AC199" s="219">
        <f t="shared" si="58"/>
        <v>12</v>
      </c>
      <c r="AD199" s="219">
        <f t="shared" si="58"/>
        <v>12</v>
      </c>
    </row>
    <row r="200" spans="1:30" ht="13.5" outlineLevel="1" thickBot="1">
      <c r="A200" s="13" t="s">
        <v>110</v>
      </c>
      <c r="B200" s="13" t="s">
        <v>81</v>
      </c>
      <c r="C200" s="44"/>
      <c r="D200" s="56">
        <f t="shared" ref="D200:AD200" si="59">IF(E178=0,0,D178*D199/52)</f>
        <v>0</v>
      </c>
      <c r="E200" s="56">
        <f t="shared" si="59"/>
        <v>0</v>
      </c>
      <c r="F200" s="56">
        <f t="shared" si="59"/>
        <v>1.3420118343195262</v>
      </c>
      <c r="G200" s="56">
        <f t="shared" si="59"/>
        <v>2.1146853146853144</v>
      </c>
      <c r="H200" s="56">
        <f t="shared" si="59"/>
        <v>2.1146853146853144</v>
      </c>
      <c r="I200" s="56">
        <f t="shared" si="59"/>
        <v>2.1146853146853144</v>
      </c>
      <c r="J200" s="56">
        <f t="shared" si="59"/>
        <v>2.2061861215707368</v>
      </c>
      <c r="K200" s="56">
        <f t="shared" si="59"/>
        <v>1.3826788596019364</v>
      </c>
      <c r="L200" s="56">
        <f t="shared" si="59"/>
        <v>0.79300699300699284</v>
      </c>
      <c r="M200" s="56">
        <f t="shared" si="59"/>
        <v>0.79300699300699284</v>
      </c>
      <c r="N200" s="56">
        <f t="shared" si="59"/>
        <v>0.79300699300699284</v>
      </c>
      <c r="O200" s="56">
        <f t="shared" si="59"/>
        <v>0.79300699300699284</v>
      </c>
      <c r="P200" s="56">
        <f t="shared" si="59"/>
        <v>0</v>
      </c>
      <c r="Q200" s="56">
        <f t="shared" si="59"/>
        <v>0</v>
      </c>
      <c r="R200" s="56">
        <f t="shared" si="59"/>
        <v>0</v>
      </c>
      <c r="S200" s="56">
        <f t="shared" si="59"/>
        <v>0</v>
      </c>
      <c r="T200" s="56">
        <f t="shared" si="59"/>
        <v>0</v>
      </c>
      <c r="U200" s="56">
        <f t="shared" si="59"/>
        <v>0</v>
      </c>
      <c r="V200" s="56">
        <f t="shared" si="59"/>
        <v>0</v>
      </c>
      <c r="W200" s="56">
        <f t="shared" si="59"/>
        <v>0</v>
      </c>
      <c r="X200" s="56">
        <f t="shared" si="59"/>
        <v>0</v>
      </c>
      <c r="Y200" s="56">
        <f t="shared" si="59"/>
        <v>0</v>
      </c>
      <c r="Z200" s="56">
        <f t="shared" si="59"/>
        <v>0</v>
      </c>
      <c r="AA200" s="56">
        <f t="shared" si="59"/>
        <v>0</v>
      </c>
      <c r="AB200" s="56">
        <f t="shared" si="59"/>
        <v>0</v>
      </c>
      <c r="AC200" s="56">
        <f t="shared" si="59"/>
        <v>0</v>
      </c>
      <c r="AD200" s="56">
        <f t="shared" si="59"/>
        <v>0</v>
      </c>
    </row>
    <row r="201" spans="1:30" s="14" customFormat="1" ht="13.5" outlineLevel="1" thickBot="1">
      <c r="A201" s="14" t="s">
        <v>111</v>
      </c>
      <c r="B201" s="13" t="s">
        <v>81</v>
      </c>
      <c r="C201" s="44">
        <f>SUM(D201:AD201)</f>
        <v>66.436363636363623</v>
      </c>
      <c r="D201" s="58">
        <f>D178-D200</f>
        <v>0</v>
      </c>
      <c r="E201" s="55">
        <f t="shared" ref="E201:AD201" si="60">D200+E178-E200</f>
        <v>0</v>
      </c>
      <c r="F201" s="55">
        <f t="shared" si="60"/>
        <v>4.4733727810650876</v>
      </c>
      <c r="G201" s="55">
        <f t="shared" si="60"/>
        <v>8.3909628832705749</v>
      </c>
      <c r="H201" s="55">
        <f t="shared" si="60"/>
        <v>9.1636363636363622</v>
      </c>
      <c r="I201" s="55">
        <f t="shared" si="60"/>
        <v>9.1636363636363622</v>
      </c>
      <c r="J201" s="55">
        <f t="shared" si="60"/>
        <v>9.4686390532544369</v>
      </c>
      <c r="K201" s="55">
        <f t="shared" si="60"/>
        <v>6.8151156535771911</v>
      </c>
      <c r="L201" s="55">
        <f t="shared" si="60"/>
        <v>4.026035502958579</v>
      </c>
      <c r="M201" s="55">
        <f t="shared" si="60"/>
        <v>3.4363636363636361</v>
      </c>
      <c r="N201" s="55">
        <f t="shared" si="60"/>
        <v>3.4363636363636361</v>
      </c>
      <c r="O201" s="55">
        <f t="shared" si="60"/>
        <v>3.4363636363636361</v>
      </c>
      <c r="P201" s="55">
        <f t="shared" si="60"/>
        <v>4.6258741258741258</v>
      </c>
      <c r="Q201" s="55">
        <f t="shared" si="60"/>
        <v>0</v>
      </c>
      <c r="R201" s="55">
        <f t="shared" si="60"/>
        <v>0</v>
      </c>
      <c r="S201" s="55">
        <f t="shared" si="60"/>
        <v>0</v>
      </c>
      <c r="T201" s="55">
        <f t="shared" si="60"/>
        <v>0</v>
      </c>
      <c r="U201" s="55">
        <f t="shared" si="60"/>
        <v>0</v>
      </c>
      <c r="V201" s="55">
        <f t="shared" si="60"/>
        <v>0</v>
      </c>
      <c r="W201" s="55">
        <f t="shared" si="60"/>
        <v>0</v>
      </c>
      <c r="X201" s="55">
        <f t="shared" si="60"/>
        <v>0</v>
      </c>
      <c r="Y201" s="55">
        <f t="shared" si="60"/>
        <v>0</v>
      </c>
      <c r="Z201" s="55">
        <f t="shared" si="60"/>
        <v>0</v>
      </c>
      <c r="AA201" s="55">
        <f t="shared" si="60"/>
        <v>0</v>
      </c>
      <c r="AB201" s="55">
        <f t="shared" si="60"/>
        <v>0</v>
      </c>
      <c r="AC201" s="55">
        <f t="shared" si="60"/>
        <v>0</v>
      </c>
      <c r="AD201" s="55">
        <f t="shared" si="60"/>
        <v>0</v>
      </c>
    </row>
    <row r="202" spans="1:30" outlineLevel="1">
      <c r="A202" s="134" t="s">
        <v>547</v>
      </c>
      <c r="C202" s="44"/>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row>
    <row r="203" spans="1:30" outlineLevel="1">
      <c r="A203" s="214" t="s">
        <v>44</v>
      </c>
      <c r="B203" s="214" t="s">
        <v>119</v>
      </c>
      <c r="C203" s="258"/>
      <c r="D203" s="220">
        <v>0.1</v>
      </c>
      <c r="E203" s="220">
        <f t="shared" ref="E203:AD203" si="61">D203</f>
        <v>0.1</v>
      </c>
      <c r="F203" s="220">
        <f t="shared" si="61"/>
        <v>0.1</v>
      </c>
      <c r="G203" s="220">
        <f t="shared" si="61"/>
        <v>0.1</v>
      </c>
      <c r="H203" s="220">
        <f t="shared" si="61"/>
        <v>0.1</v>
      </c>
      <c r="I203" s="220">
        <f t="shared" si="61"/>
        <v>0.1</v>
      </c>
      <c r="J203" s="220">
        <f t="shared" si="61"/>
        <v>0.1</v>
      </c>
      <c r="K203" s="220">
        <f t="shared" si="61"/>
        <v>0.1</v>
      </c>
      <c r="L203" s="220">
        <f t="shared" si="61"/>
        <v>0.1</v>
      </c>
      <c r="M203" s="220">
        <f t="shared" si="61"/>
        <v>0.1</v>
      </c>
      <c r="N203" s="220">
        <f t="shared" si="61"/>
        <v>0.1</v>
      </c>
      <c r="O203" s="220">
        <f t="shared" si="61"/>
        <v>0.1</v>
      </c>
      <c r="P203" s="220">
        <f t="shared" si="61"/>
        <v>0.1</v>
      </c>
      <c r="Q203" s="220">
        <f t="shared" si="61"/>
        <v>0.1</v>
      </c>
      <c r="R203" s="220">
        <f t="shared" si="61"/>
        <v>0.1</v>
      </c>
      <c r="S203" s="220">
        <f t="shared" si="61"/>
        <v>0.1</v>
      </c>
      <c r="T203" s="220">
        <f t="shared" si="61"/>
        <v>0.1</v>
      </c>
      <c r="U203" s="220">
        <f t="shared" si="61"/>
        <v>0.1</v>
      </c>
      <c r="V203" s="220">
        <f t="shared" si="61"/>
        <v>0.1</v>
      </c>
      <c r="W203" s="220">
        <f t="shared" si="61"/>
        <v>0.1</v>
      </c>
      <c r="X203" s="220">
        <f t="shared" si="61"/>
        <v>0.1</v>
      </c>
      <c r="Y203" s="220">
        <f t="shared" si="61"/>
        <v>0.1</v>
      </c>
      <c r="Z203" s="220">
        <f t="shared" si="61"/>
        <v>0.1</v>
      </c>
      <c r="AA203" s="220">
        <f t="shared" si="61"/>
        <v>0.1</v>
      </c>
      <c r="AB203" s="220">
        <f t="shared" si="61"/>
        <v>0.1</v>
      </c>
      <c r="AC203" s="220">
        <f t="shared" si="61"/>
        <v>0.1</v>
      </c>
      <c r="AD203" s="220">
        <f t="shared" si="61"/>
        <v>0.1</v>
      </c>
    </row>
    <row r="204" spans="1:30" outlineLevel="1">
      <c r="A204" s="13" t="s">
        <v>259</v>
      </c>
      <c r="B204" s="13" t="s">
        <v>85</v>
      </c>
      <c r="C204" s="44">
        <f>SUM(D204:AD204)</f>
        <v>73.818181818181813</v>
      </c>
      <c r="D204" s="42">
        <f t="shared" ref="D204:AD204" si="62">D201/(1-D203)</f>
        <v>0</v>
      </c>
      <c r="E204" s="42">
        <f t="shared" si="62"/>
        <v>0</v>
      </c>
      <c r="F204" s="42">
        <f t="shared" si="62"/>
        <v>4.9704142011834307</v>
      </c>
      <c r="G204" s="42">
        <f t="shared" si="62"/>
        <v>9.3232920925228608</v>
      </c>
      <c r="H204" s="42">
        <f t="shared" si="62"/>
        <v>10.18181818181818</v>
      </c>
      <c r="I204" s="42">
        <f t="shared" si="62"/>
        <v>10.18181818181818</v>
      </c>
      <c r="J204" s="42">
        <f t="shared" si="62"/>
        <v>10.520710059171597</v>
      </c>
      <c r="K204" s="42">
        <f t="shared" si="62"/>
        <v>7.5723507261968788</v>
      </c>
      <c r="L204" s="42">
        <f t="shared" si="62"/>
        <v>4.4733727810650876</v>
      </c>
      <c r="M204" s="42">
        <f t="shared" si="62"/>
        <v>3.8181818181818179</v>
      </c>
      <c r="N204" s="42">
        <f t="shared" si="62"/>
        <v>3.8181818181818179</v>
      </c>
      <c r="O204" s="42">
        <f t="shared" si="62"/>
        <v>3.8181818181818179</v>
      </c>
      <c r="P204" s="42">
        <f t="shared" si="62"/>
        <v>5.13986013986014</v>
      </c>
      <c r="Q204" s="42">
        <f t="shared" si="62"/>
        <v>0</v>
      </c>
      <c r="R204" s="42">
        <f t="shared" si="62"/>
        <v>0</v>
      </c>
      <c r="S204" s="42">
        <f t="shared" si="62"/>
        <v>0</v>
      </c>
      <c r="T204" s="42">
        <f t="shared" si="62"/>
        <v>0</v>
      </c>
      <c r="U204" s="42">
        <f t="shared" si="62"/>
        <v>0</v>
      </c>
      <c r="V204" s="42">
        <f t="shared" si="62"/>
        <v>0</v>
      </c>
      <c r="W204" s="42">
        <f t="shared" si="62"/>
        <v>0</v>
      </c>
      <c r="X204" s="42">
        <f t="shared" si="62"/>
        <v>0</v>
      </c>
      <c r="Y204" s="42">
        <f t="shared" si="62"/>
        <v>0</v>
      </c>
      <c r="Z204" s="42">
        <f t="shared" si="62"/>
        <v>0</v>
      </c>
      <c r="AA204" s="42">
        <f t="shared" si="62"/>
        <v>0</v>
      </c>
      <c r="AB204" s="42">
        <f t="shared" si="62"/>
        <v>0</v>
      </c>
      <c r="AC204" s="42">
        <f t="shared" si="62"/>
        <v>0</v>
      </c>
      <c r="AD204" s="42">
        <f t="shared" si="62"/>
        <v>0</v>
      </c>
    </row>
    <row r="205" spans="1:30" outlineLevel="1">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row>
    <row r="206" spans="1:30" s="8" customFormat="1" ht="15.5" outlineLevel="1">
      <c r="A206" s="242" t="str">
        <f>'Expected NPV &amp; Common Data'!A$36</f>
        <v>Calendar Year --&gt;</v>
      </c>
      <c r="B206" s="243" t="str">
        <f>'Expected NPV &amp; Common Data'!B$36</f>
        <v>units</v>
      </c>
      <c r="C206" s="244" t="str">
        <f>'Expected NPV &amp; Common Data'!C$36</f>
        <v>Total</v>
      </c>
      <c r="D206" s="245">
        <f>'Expected NPV &amp; Common Data'!D$36</f>
        <v>2027</v>
      </c>
      <c r="E206" s="245">
        <f>'Expected NPV &amp; Common Data'!E$36</f>
        <v>2028</v>
      </c>
      <c r="F206" s="245">
        <f>'Expected NPV &amp; Common Data'!F$36</f>
        <v>2029</v>
      </c>
      <c r="G206" s="245">
        <f>'Expected NPV &amp; Common Data'!G$36</f>
        <v>2030</v>
      </c>
      <c r="H206" s="245">
        <f>'Expected NPV &amp; Common Data'!H$36</f>
        <v>2031</v>
      </c>
      <c r="I206" s="245">
        <f>'Expected NPV &amp; Common Data'!I$36</f>
        <v>2032</v>
      </c>
      <c r="J206" s="245">
        <f>'Expected NPV &amp; Common Data'!J$36</f>
        <v>2033</v>
      </c>
      <c r="K206" s="245">
        <f>'Expected NPV &amp; Common Data'!K$36</f>
        <v>2034</v>
      </c>
      <c r="L206" s="245">
        <f>'Expected NPV &amp; Common Data'!L$36</f>
        <v>2035</v>
      </c>
      <c r="M206" s="245">
        <f>'Expected NPV &amp; Common Data'!M$36</f>
        <v>2036</v>
      </c>
      <c r="N206" s="245">
        <f>'Expected NPV &amp; Common Data'!N$36</f>
        <v>2037</v>
      </c>
      <c r="O206" s="245">
        <f>'Expected NPV &amp; Common Data'!O$36</f>
        <v>2038</v>
      </c>
      <c r="P206" s="245">
        <f>'Expected NPV &amp; Common Data'!P$36</f>
        <v>2039</v>
      </c>
      <c r="Q206" s="245">
        <f>'Expected NPV &amp; Common Data'!Q$36</f>
        <v>2040</v>
      </c>
      <c r="R206" s="245">
        <f>'Expected NPV &amp; Common Data'!R$36</f>
        <v>2041</v>
      </c>
      <c r="S206" s="245">
        <f>'Expected NPV &amp; Common Data'!S$36</f>
        <v>2042</v>
      </c>
      <c r="T206" s="245">
        <f>'Expected NPV &amp; Common Data'!T$36</f>
        <v>2043</v>
      </c>
      <c r="U206" s="245">
        <f>'Expected NPV &amp; Common Data'!U$36</f>
        <v>2044</v>
      </c>
      <c r="V206" s="245">
        <f>'Expected NPV &amp; Common Data'!V$36</f>
        <v>2045</v>
      </c>
      <c r="W206" s="245">
        <f>'Expected NPV &amp; Common Data'!W$36</f>
        <v>2046</v>
      </c>
      <c r="X206" s="245">
        <f>'Expected NPV &amp; Common Data'!X$36</f>
        <v>2047</v>
      </c>
      <c r="Y206" s="245">
        <f>'Expected NPV &amp; Common Data'!Y$36</f>
        <v>2048</v>
      </c>
      <c r="Z206" s="245">
        <f>'Expected NPV &amp; Common Data'!Z$36</f>
        <v>2049</v>
      </c>
      <c r="AA206" s="245">
        <f>'Expected NPV &amp; Common Data'!AA$36</f>
        <v>2050</v>
      </c>
      <c r="AB206" s="245">
        <f>'Expected NPV &amp; Common Data'!AB$36</f>
        <v>2051</v>
      </c>
      <c r="AC206" s="245">
        <f>'Expected NPV &amp; Common Data'!AC$36</f>
        <v>2052</v>
      </c>
      <c r="AD206" s="245">
        <f>'Expected NPV &amp; Common Data'!AD$36</f>
        <v>2053</v>
      </c>
    </row>
    <row r="207" spans="1:30" ht="51" customHeight="1">
      <c r="A207" s="23" t="s">
        <v>201</v>
      </c>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row>
    <row r="208" spans="1:30" ht="130" customHeight="1">
      <c r="A208" s="23"/>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2"/>
      <c r="AC208" s="42"/>
      <c r="AD208" s="42"/>
    </row>
    <row r="209" spans="1:30" ht="33" customHeight="1" outlineLevel="1">
      <c r="A209" s="24" t="s">
        <v>202</v>
      </c>
      <c r="D209" s="15"/>
      <c r="E209" s="15"/>
      <c r="F209" s="15"/>
      <c r="G209" s="15"/>
      <c r="H209" s="15"/>
      <c r="I209" s="15"/>
      <c r="J209" s="15"/>
      <c r="K209" s="15"/>
      <c r="L209" s="15"/>
      <c r="M209" s="15"/>
      <c r="N209" s="15"/>
      <c r="O209" s="15"/>
      <c r="P209" s="15"/>
      <c r="Q209" s="15"/>
      <c r="R209" s="15"/>
      <c r="S209" s="15"/>
      <c r="T209" s="15"/>
      <c r="U209" s="15"/>
      <c r="V209" s="15"/>
      <c r="W209" s="15"/>
      <c r="X209" s="15"/>
      <c r="Y209" s="15"/>
      <c r="Z209" s="15"/>
      <c r="AA209" s="15"/>
      <c r="AB209" s="15"/>
      <c r="AC209" s="15"/>
      <c r="AD209" s="15"/>
    </row>
    <row r="210" spans="1:30" s="134" customFormat="1" outlineLevel="1">
      <c r="A210" s="63" t="str">
        <f>'Expected NPV &amp; Common Data'!A41</f>
        <v>25 Nov 2025 S Mullah email of expected copper concentrate terms.  Pay the lesser of: 1.an absolute deduction of 1% Cu or 2. a percentage deduction of contained copper according to Cu assay.  (Can research on Internet)</v>
      </c>
      <c r="C210" s="259"/>
      <c r="D210" s="260"/>
      <c r="E210" s="260"/>
      <c r="F210" s="260"/>
      <c r="G210" s="260"/>
      <c r="H210" s="260"/>
      <c r="I210" s="260"/>
      <c r="J210" s="260"/>
      <c r="K210" s="260"/>
      <c r="L210" s="260"/>
      <c r="M210" s="260"/>
      <c r="N210" s="260"/>
      <c r="O210" s="260"/>
      <c r="P210" s="260"/>
      <c r="Q210" s="260"/>
      <c r="R210" s="260"/>
      <c r="S210" s="260"/>
      <c r="T210" s="260"/>
      <c r="U210" s="260"/>
      <c r="V210" s="260"/>
      <c r="W210" s="260"/>
      <c r="X210" s="260"/>
      <c r="Y210" s="260"/>
      <c r="Z210" s="260"/>
      <c r="AA210" s="260"/>
      <c r="AB210" s="260"/>
      <c r="AC210" s="260"/>
      <c r="AD210" s="260"/>
    </row>
    <row r="211" spans="1:30" outlineLevel="1">
      <c r="A211" s="50" t="s">
        <v>263</v>
      </c>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c r="AA211" s="42"/>
      <c r="AB211" s="42"/>
      <c r="AC211" s="42"/>
      <c r="AD211" s="42"/>
    </row>
    <row r="212" spans="1:30" outlineLevel="1">
      <c r="A212" s="45" t="s">
        <v>103</v>
      </c>
      <c r="B212" s="13" t="s">
        <v>35</v>
      </c>
      <c r="C212" s="38"/>
      <c r="D212" s="46">
        <f t="shared" ref="D212:AD212" si="63">IF(D166=0,0,D165)</f>
        <v>0</v>
      </c>
      <c r="E212" s="46">
        <f t="shared" si="63"/>
        <v>0</v>
      </c>
      <c r="F212" s="46">
        <f t="shared" si="63"/>
        <v>0.31</v>
      </c>
      <c r="G212" s="46">
        <f t="shared" si="63"/>
        <v>0.31</v>
      </c>
      <c r="H212" s="46">
        <f t="shared" si="63"/>
        <v>0.31</v>
      </c>
      <c r="I212" s="46">
        <f t="shared" si="63"/>
        <v>0.31</v>
      </c>
      <c r="J212" s="46">
        <f t="shared" si="63"/>
        <v>0.31</v>
      </c>
      <c r="K212" s="46">
        <f t="shared" si="63"/>
        <v>0.31</v>
      </c>
      <c r="L212" s="46">
        <f t="shared" si="63"/>
        <v>0.31</v>
      </c>
      <c r="M212" s="46">
        <f t="shared" si="63"/>
        <v>0.31</v>
      </c>
      <c r="N212" s="46">
        <f t="shared" si="63"/>
        <v>0.31</v>
      </c>
      <c r="O212" s="46">
        <f t="shared" si="63"/>
        <v>0.31</v>
      </c>
      <c r="P212" s="46">
        <f t="shared" si="63"/>
        <v>0.31</v>
      </c>
      <c r="Q212" s="46">
        <f t="shared" si="63"/>
        <v>0.31</v>
      </c>
      <c r="R212" s="46">
        <f t="shared" si="63"/>
        <v>0.31</v>
      </c>
      <c r="S212" s="46">
        <f t="shared" si="63"/>
        <v>0.31</v>
      </c>
      <c r="T212" s="46">
        <f t="shared" si="63"/>
        <v>0.31</v>
      </c>
      <c r="U212" s="46">
        <f t="shared" si="63"/>
        <v>0</v>
      </c>
      <c r="V212" s="46">
        <f t="shared" si="63"/>
        <v>0</v>
      </c>
      <c r="W212" s="46">
        <f t="shared" si="63"/>
        <v>0</v>
      </c>
      <c r="X212" s="46">
        <f t="shared" si="63"/>
        <v>0</v>
      </c>
      <c r="Y212" s="46">
        <f t="shared" si="63"/>
        <v>0</v>
      </c>
      <c r="Z212" s="46">
        <f t="shared" si="63"/>
        <v>0</v>
      </c>
      <c r="AA212" s="46">
        <f t="shared" si="63"/>
        <v>0</v>
      </c>
      <c r="AB212" s="46">
        <f t="shared" si="63"/>
        <v>0</v>
      </c>
      <c r="AC212" s="46">
        <f t="shared" si="63"/>
        <v>0</v>
      </c>
      <c r="AD212" s="46">
        <f t="shared" si="63"/>
        <v>0</v>
      </c>
    </row>
    <row r="213" spans="1:30" outlineLevel="1">
      <c r="A213" s="49" t="s">
        <v>155</v>
      </c>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c r="AA213" s="42"/>
      <c r="AB213" s="42"/>
      <c r="AC213" s="42"/>
      <c r="AD213" s="42"/>
    </row>
    <row r="214" spans="1:30" outlineLevel="1">
      <c r="A214" s="247" t="str">
        <f>'Expected NPV &amp; Common Data'!A43</f>
        <v>Copper deduction</v>
      </c>
      <c r="B214" s="247" t="str">
        <f>'Expected NPV &amp; Common Data'!B43</f>
        <v>% of contained copper</v>
      </c>
      <c r="C214" s="247"/>
      <c r="D214" s="261">
        <f>'Expected NPV &amp; Common Data'!D43</f>
        <v>3.2500000000000001E-2</v>
      </c>
      <c r="E214" s="261">
        <f>'Expected NPV &amp; Common Data'!E43</f>
        <v>3.2500000000000001E-2</v>
      </c>
      <c r="F214" s="261">
        <f>'Expected NPV &amp; Common Data'!F43</f>
        <v>3.2500000000000001E-2</v>
      </c>
      <c r="G214" s="261">
        <f>'Expected NPV &amp; Common Data'!G43</f>
        <v>3.2500000000000001E-2</v>
      </c>
      <c r="H214" s="261">
        <f>'Expected NPV &amp; Common Data'!H43</f>
        <v>3.2500000000000001E-2</v>
      </c>
      <c r="I214" s="261">
        <f>'Expected NPV &amp; Common Data'!I43</f>
        <v>3.2500000000000001E-2</v>
      </c>
      <c r="J214" s="261">
        <f>'Expected NPV &amp; Common Data'!J43</f>
        <v>3.2500000000000001E-2</v>
      </c>
      <c r="K214" s="261">
        <f>'Expected NPV &amp; Common Data'!K43</f>
        <v>3.2500000000000001E-2</v>
      </c>
      <c r="L214" s="261">
        <f>'Expected NPV &amp; Common Data'!L43</f>
        <v>3.2500000000000001E-2</v>
      </c>
      <c r="M214" s="261">
        <f>'Expected NPV &amp; Common Data'!M43</f>
        <v>3.2500000000000001E-2</v>
      </c>
      <c r="N214" s="261">
        <f>'Expected NPV &amp; Common Data'!N43</f>
        <v>3.2500000000000001E-2</v>
      </c>
      <c r="O214" s="261">
        <f>'Expected NPV &amp; Common Data'!O43</f>
        <v>3.2500000000000001E-2</v>
      </c>
      <c r="P214" s="261">
        <f>'Expected NPV &amp; Common Data'!P43</f>
        <v>3.2500000000000001E-2</v>
      </c>
      <c r="Q214" s="261">
        <f>'Expected NPV &amp; Common Data'!Q43</f>
        <v>3.2500000000000001E-2</v>
      </c>
      <c r="R214" s="261">
        <f>'Expected NPV &amp; Common Data'!R43</f>
        <v>3.2500000000000001E-2</v>
      </c>
      <c r="S214" s="261">
        <f>'Expected NPV &amp; Common Data'!S43</f>
        <v>3.2500000000000001E-2</v>
      </c>
      <c r="T214" s="261">
        <f>'Expected NPV &amp; Common Data'!T43</f>
        <v>3.2500000000000001E-2</v>
      </c>
      <c r="U214" s="261">
        <f>'Expected NPV &amp; Common Data'!U43</f>
        <v>3.2500000000000001E-2</v>
      </c>
      <c r="V214" s="261">
        <f>'Expected NPV &amp; Common Data'!V43</f>
        <v>3.2500000000000001E-2</v>
      </c>
      <c r="W214" s="261">
        <f>'Expected NPV &amp; Common Data'!W43</f>
        <v>3.2500000000000001E-2</v>
      </c>
      <c r="X214" s="261">
        <f>'Expected NPV &amp; Common Data'!X43</f>
        <v>3.2500000000000001E-2</v>
      </c>
      <c r="Y214" s="261">
        <f>'Expected NPV &amp; Common Data'!Y43</f>
        <v>3.2500000000000001E-2</v>
      </c>
      <c r="Z214" s="261">
        <f>'Expected NPV &amp; Common Data'!Z43</f>
        <v>3.2500000000000001E-2</v>
      </c>
      <c r="AA214" s="261">
        <f>'Expected NPV &amp; Common Data'!AA43</f>
        <v>3.2500000000000001E-2</v>
      </c>
      <c r="AB214" s="261">
        <f>'Expected NPV &amp; Common Data'!AB43</f>
        <v>3.2500000000000001E-2</v>
      </c>
      <c r="AC214" s="261">
        <f>'Expected NPV &amp; Common Data'!AC43</f>
        <v>3.2500000000000001E-2</v>
      </c>
      <c r="AD214" s="261">
        <f>'Expected NPV &amp; Common Data'!AD43</f>
        <v>3.2500000000000001E-2</v>
      </c>
    </row>
    <row r="215" spans="1:30" outlineLevel="1">
      <c r="A215" s="247" t="str">
        <f>'Expected NPV &amp; Common Data'!A44</f>
        <v>Copper concentrate &gt;XX % Cu</v>
      </c>
      <c r="B215" s="247" t="str">
        <f>'Expected NPV &amp; Common Data'!B44</f>
        <v>% Cu</v>
      </c>
      <c r="C215" s="247"/>
      <c r="D215" s="262">
        <f>'Expected NPV &amp; Common Data'!D44</f>
        <v>0.35</v>
      </c>
      <c r="E215" s="262">
        <f>'Expected NPV &amp; Common Data'!E44</f>
        <v>0.35</v>
      </c>
      <c r="F215" s="262">
        <f>'Expected NPV &amp; Common Data'!F44</f>
        <v>0.35</v>
      </c>
      <c r="G215" s="262">
        <f>'Expected NPV &amp; Common Data'!G44</f>
        <v>0.35</v>
      </c>
      <c r="H215" s="262">
        <f>'Expected NPV &amp; Common Data'!H44</f>
        <v>0.35</v>
      </c>
      <c r="I215" s="262">
        <f>'Expected NPV &amp; Common Data'!I44</f>
        <v>0.35</v>
      </c>
      <c r="J215" s="262">
        <f>'Expected NPV &amp; Common Data'!J44</f>
        <v>0.35</v>
      </c>
      <c r="K215" s="262">
        <f>'Expected NPV &amp; Common Data'!K44</f>
        <v>0.35</v>
      </c>
      <c r="L215" s="262">
        <f>'Expected NPV &amp; Common Data'!L44</f>
        <v>0.35</v>
      </c>
      <c r="M215" s="262">
        <f>'Expected NPV &amp; Common Data'!M44</f>
        <v>0.35</v>
      </c>
      <c r="N215" s="262">
        <f>'Expected NPV &amp; Common Data'!N44</f>
        <v>0.35</v>
      </c>
      <c r="O215" s="262">
        <f>'Expected NPV &amp; Common Data'!O44</f>
        <v>0.35</v>
      </c>
      <c r="P215" s="262">
        <f>'Expected NPV &amp; Common Data'!P44</f>
        <v>0.35</v>
      </c>
      <c r="Q215" s="262">
        <f>'Expected NPV &amp; Common Data'!Q44</f>
        <v>0.35</v>
      </c>
      <c r="R215" s="262">
        <f>'Expected NPV &amp; Common Data'!R44</f>
        <v>0.35</v>
      </c>
      <c r="S215" s="262">
        <f>'Expected NPV &amp; Common Data'!S44</f>
        <v>0.35</v>
      </c>
      <c r="T215" s="262">
        <f>'Expected NPV &amp; Common Data'!T44</f>
        <v>0.35</v>
      </c>
      <c r="U215" s="262">
        <f>'Expected NPV &amp; Common Data'!U44</f>
        <v>0.35</v>
      </c>
      <c r="V215" s="262">
        <f>'Expected NPV &amp; Common Data'!V44</f>
        <v>0.35</v>
      </c>
      <c r="W215" s="262">
        <f>'Expected NPV &amp; Common Data'!W44</f>
        <v>0.35</v>
      </c>
      <c r="X215" s="262">
        <f>'Expected NPV &amp; Common Data'!X44</f>
        <v>0.35</v>
      </c>
      <c r="Y215" s="262">
        <f>'Expected NPV &amp; Common Data'!Y44</f>
        <v>0.35</v>
      </c>
      <c r="Z215" s="262">
        <f>'Expected NPV &amp; Common Data'!Z44</f>
        <v>0.35</v>
      </c>
      <c r="AA215" s="262">
        <f>'Expected NPV &amp; Common Data'!AA44</f>
        <v>0.35</v>
      </c>
      <c r="AB215" s="262">
        <f>'Expected NPV &amp; Common Data'!AB44</f>
        <v>0.35</v>
      </c>
      <c r="AC215" s="262">
        <f>'Expected NPV &amp; Common Data'!AC44</f>
        <v>0.35</v>
      </c>
      <c r="AD215" s="262">
        <f>'Expected NPV &amp; Common Data'!AD44</f>
        <v>0.35</v>
      </c>
    </row>
    <row r="216" spans="1:30" outlineLevel="1">
      <c r="A216" s="247" t="str">
        <f>'Expected NPV &amp; Common Data'!A45</f>
        <v>Copper deduction</v>
      </c>
      <c r="B216" s="247" t="str">
        <f>'Expected NPV &amp; Common Data'!B45</f>
        <v>% of contained copper</v>
      </c>
      <c r="C216" s="247"/>
      <c r="D216" s="261">
        <f>'Expected NPV &amp; Common Data'!D45</f>
        <v>3.3500000000000002E-2</v>
      </c>
      <c r="E216" s="261">
        <f>'Expected NPV &amp; Common Data'!E45</f>
        <v>3.3500000000000002E-2</v>
      </c>
      <c r="F216" s="261">
        <f>'Expected NPV &amp; Common Data'!F45</f>
        <v>3.3500000000000002E-2</v>
      </c>
      <c r="G216" s="261">
        <f>'Expected NPV &amp; Common Data'!G45</f>
        <v>3.3500000000000002E-2</v>
      </c>
      <c r="H216" s="261">
        <f>'Expected NPV &amp; Common Data'!H45</f>
        <v>3.3500000000000002E-2</v>
      </c>
      <c r="I216" s="261">
        <f>'Expected NPV &amp; Common Data'!I45</f>
        <v>3.3500000000000002E-2</v>
      </c>
      <c r="J216" s="261">
        <f>'Expected NPV &amp; Common Data'!J45</f>
        <v>3.3500000000000002E-2</v>
      </c>
      <c r="K216" s="261">
        <f>'Expected NPV &amp; Common Data'!K45</f>
        <v>3.3500000000000002E-2</v>
      </c>
      <c r="L216" s="261">
        <f>'Expected NPV &amp; Common Data'!L45</f>
        <v>3.3500000000000002E-2</v>
      </c>
      <c r="M216" s="261">
        <f>'Expected NPV &amp; Common Data'!M45</f>
        <v>3.3500000000000002E-2</v>
      </c>
      <c r="N216" s="261">
        <f>'Expected NPV &amp; Common Data'!N45</f>
        <v>3.3500000000000002E-2</v>
      </c>
      <c r="O216" s="261">
        <f>'Expected NPV &amp; Common Data'!O45</f>
        <v>3.3500000000000002E-2</v>
      </c>
      <c r="P216" s="261">
        <f>'Expected NPV &amp; Common Data'!P45</f>
        <v>3.3500000000000002E-2</v>
      </c>
      <c r="Q216" s="261">
        <f>'Expected NPV &amp; Common Data'!Q45</f>
        <v>3.3500000000000002E-2</v>
      </c>
      <c r="R216" s="261">
        <f>'Expected NPV &amp; Common Data'!R45</f>
        <v>3.3500000000000002E-2</v>
      </c>
      <c r="S216" s="261">
        <f>'Expected NPV &amp; Common Data'!S45</f>
        <v>3.3500000000000002E-2</v>
      </c>
      <c r="T216" s="261">
        <f>'Expected NPV &amp; Common Data'!T45</f>
        <v>3.3500000000000002E-2</v>
      </c>
      <c r="U216" s="261">
        <f>'Expected NPV &amp; Common Data'!U45</f>
        <v>3.3500000000000002E-2</v>
      </c>
      <c r="V216" s="261">
        <f>'Expected NPV &amp; Common Data'!V45</f>
        <v>3.3500000000000002E-2</v>
      </c>
      <c r="W216" s="261">
        <f>'Expected NPV &amp; Common Data'!W45</f>
        <v>3.3500000000000002E-2</v>
      </c>
      <c r="X216" s="261">
        <f>'Expected NPV &amp; Common Data'!X45</f>
        <v>3.3500000000000002E-2</v>
      </c>
      <c r="Y216" s="261">
        <f>'Expected NPV &amp; Common Data'!Y45</f>
        <v>3.3500000000000002E-2</v>
      </c>
      <c r="Z216" s="261">
        <f>'Expected NPV &amp; Common Data'!Z45</f>
        <v>3.3500000000000002E-2</v>
      </c>
      <c r="AA216" s="261">
        <f>'Expected NPV &amp; Common Data'!AA45</f>
        <v>3.3500000000000002E-2</v>
      </c>
      <c r="AB216" s="261">
        <f>'Expected NPV &amp; Common Data'!AB45</f>
        <v>3.3500000000000002E-2</v>
      </c>
      <c r="AC216" s="261">
        <f>'Expected NPV &amp; Common Data'!AC45</f>
        <v>3.3500000000000002E-2</v>
      </c>
      <c r="AD216" s="261">
        <f>'Expected NPV &amp; Common Data'!AD45</f>
        <v>3.3500000000000002E-2</v>
      </c>
    </row>
    <row r="217" spans="1:30" outlineLevel="1">
      <c r="A217" s="247" t="str">
        <f>'Expected NPV &amp; Common Data'!A46</f>
        <v>Copper concentrate &gt;XX % Cu</v>
      </c>
      <c r="B217" s="247" t="str">
        <f>'Expected NPV &amp; Common Data'!B46</f>
        <v>% Cu</v>
      </c>
      <c r="C217" s="247"/>
      <c r="D217" s="262">
        <f>'Expected NPV &amp; Common Data'!D46</f>
        <v>0.3</v>
      </c>
      <c r="E217" s="262">
        <f>'Expected NPV &amp; Common Data'!E46</f>
        <v>0.3</v>
      </c>
      <c r="F217" s="262">
        <f>'Expected NPV &amp; Common Data'!F46</f>
        <v>0.3</v>
      </c>
      <c r="G217" s="262">
        <f>'Expected NPV &amp; Common Data'!G46</f>
        <v>0.3</v>
      </c>
      <c r="H217" s="262">
        <f>'Expected NPV &amp; Common Data'!H46</f>
        <v>0.3</v>
      </c>
      <c r="I217" s="262">
        <f>'Expected NPV &amp; Common Data'!I46</f>
        <v>0.3</v>
      </c>
      <c r="J217" s="262">
        <f>'Expected NPV &amp; Common Data'!J46</f>
        <v>0.3</v>
      </c>
      <c r="K217" s="262">
        <f>'Expected NPV &amp; Common Data'!K46</f>
        <v>0.3</v>
      </c>
      <c r="L217" s="262">
        <f>'Expected NPV &amp; Common Data'!L46</f>
        <v>0.3</v>
      </c>
      <c r="M217" s="262">
        <f>'Expected NPV &amp; Common Data'!M46</f>
        <v>0.3</v>
      </c>
      <c r="N217" s="262">
        <f>'Expected NPV &amp; Common Data'!N46</f>
        <v>0.3</v>
      </c>
      <c r="O217" s="262">
        <f>'Expected NPV &amp; Common Data'!O46</f>
        <v>0.3</v>
      </c>
      <c r="P217" s="262">
        <f>'Expected NPV &amp; Common Data'!P46</f>
        <v>0.3</v>
      </c>
      <c r="Q217" s="262">
        <f>'Expected NPV &amp; Common Data'!Q46</f>
        <v>0.3</v>
      </c>
      <c r="R217" s="262">
        <f>'Expected NPV &amp; Common Data'!R46</f>
        <v>0.3</v>
      </c>
      <c r="S217" s="262">
        <f>'Expected NPV &amp; Common Data'!S46</f>
        <v>0.3</v>
      </c>
      <c r="T217" s="262">
        <f>'Expected NPV &amp; Common Data'!T46</f>
        <v>0.3</v>
      </c>
      <c r="U217" s="262">
        <f>'Expected NPV &amp; Common Data'!U46</f>
        <v>0.3</v>
      </c>
      <c r="V217" s="262">
        <f>'Expected NPV &amp; Common Data'!V46</f>
        <v>0.3</v>
      </c>
      <c r="W217" s="262">
        <f>'Expected NPV &amp; Common Data'!W46</f>
        <v>0.3</v>
      </c>
      <c r="X217" s="262">
        <f>'Expected NPV &amp; Common Data'!X46</f>
        <v>0.3</v>
      </c>
      <c r="Y217" s="262">
        <f>'Expected NPV &amp; Common Data'!Y46</f>
        <v>0.3</v>
      </c>
      <c r="Z217" s="262">
        <f>'Expected NPV &amp; Common Data'!Z46</f>
        <v>0.3</v>
      </c>
      <c r="AA217" s="262">
        <f>'Expected NPV &amp; Common Data'!AA46</f>
        <v>0.3</v>
      </c>
      <c r="AB217" s="262">
        <f>'Expected NPV &amp; Common Data'!AB46</f>
        <v>0.3</v>
      </c>
      <c r="AC217" s="262">
        <f>'Expected NPV &amp; Common Data'!AC46</f>
        <v>0.3</v>
      </c>
      <c r="AD217" s="262">
        <f>'Expected NPV &amp; Common Data'!AD46</f>
        <v>0.3</v>
      </c>
    </row>
    <row r="218" spans="1:30" outlineLevel="1">
      <c r="A218" s="247" t="str">
        <f>'Expected NPV &amp; Common Data'!A47</f>
        <v>Copper deduction</v>
      </c>
      <c r="B218" s="247" t="str">
        <f>'Expected NPV &amp; Common Data'!B47</f>
        <v>% of contained copper</v>
      </c>
      <c r="C218" s="247"/>
      <c r="D218" s="261">
        <f>'Expected NPV &amp; Common Data'!D47</f>
        <v>3.5000000000000003E-2</v>
      </c>
      <c r="E218" s="261">
        <f>'Expected NPV &amp; Common Data'!E47</f>
        <v>3.5000000000000003E-2</v>
      </c>
      <c r="F218" s="261">
        <f>'Expected NPV &amp; Common Data'!F47</f>
        <v>3.5000000000000003E-2</v>
      </c>
      <c r="G218" s="261">
        <f>'Expected NPV &amp; Common Data'!G47</f>
        <v>3.5000000000000003E-2</v>
      </c>
      <c r="H218" s="261">
        <f>'Expected NPV &amp; Common Data'!H47</f>
        <v>3.5000000000000003E-2</v>
      </c>
      <c r="I218" s="261">
        <f>'Expected NPV &amp; Common Data'!I47</f>
        <v>3.5000000000000003E-2</v>
      </c>
      <c r="J218" s="261">
        <f>'Expected NPV &amp; Common Data'!J47</f>
        <v>3.5000000000000003E-2</v>
      </c>
      <c r="K218" s="261">
        <f>'Expected NPV &amp; Common Data'!K47</f>
        <v>3.5000000000000003E-2</v>
      </c>
      <c r="L218" s="261">
        <f>'Expected NPV &amp; Common Data'!L47</f>
        <v>3.5000000000000003E-2</v>
      </c>
      <c r="M218" s="261">
        <f>'Expected NPV &amp; Common Data'!M47</f>
        <v>3.5000000000000003E-2</v>
      </c>
      <c r="N218" s="261">
        <f>'Expected NPV &amp; Common Data'!N47</f>
        <v>3.5000000000000003E-2</v>
      </c>
      <c r="O218" s="261">
        <f>'Expected NPV &amp; Common Data'!O47</f>
        <v>3.5000000000000003E-2</v>
      </c>
      <c r="P218" s="261">
        <f>'Expected NPV &amp; Common Data'!P47</f>
        <v>3.5000000000000003E-2</v>
      </c>
      <c r="Q218" s="261">
        <f>'Expected NPV &amp; Common Data'!Q47</f>
        <v>3.5000000000000003E-2</v>
      </c>
      <c r="R218" s="261">
        <f>'Expected NPV &amp; Common Data'!R47</f>
        <v>3.5000000000000003E-2</v>
      </c>
      <c r="S218" s="261">
        <f>'Expected NPV &amp; Common Data'!S47</f>
        <v>3.5000000000000003E-2</v>
      </c>
      <c r="T218" s="261">
        <f>'Expected NPV &amp; Common Data'!T47</f>
        <v>3.5000000000000003E-2</v>
      </c>
      <c r="U218" s="261">
        <f>'Expected NPV &amp; Common Data'!U47</f>
        <v>3.5000000000000003E-2</v>
      </c>
      <c r="V218" s="261">
        <f>'Expected NPV &amp; Common Data'!V47</f>
        <v>3.5000000000000003E-2</v>
      </c>
      <c r="W218" s="261">
        <f>'Expected NPV &amp; Common Data'!W47</f>
        <v>3.5000000000000003E-2</v>
      </c>
      <c r="X218" s="261">
        <f>'Expected NPV &amp; Common Data'!X47</f>
        <v>3.5000000000000003E-2</v>
      </c>
      <c r="Y218" s="261">
        <f>'Expected NPV &amp; Common Data'!Y47</f>
        <v>3.5000000000000003E-2</v>
      </c>
      <c r="Z218" s="261">
        <f>'Expected NPV &amp; Common Data'!Z47</f>
        <v>3.5000000000000003E-2</v>
      </c>
      <c r="AA218" s="261">
        <f>'Expected NPV &amp; Common Data'!AA47</f>
        <v>3.5000000000000003E-2</v>
      </c>
      <c r="AB218" s="261">
        <f>'Expected NPV &amp; Common Data'!AB47</f>
        <v>3.5000000000000003E-2</v>
      </c>
      <c r="AC218" s="261">
        <f>'Expected NPV &amp; Common Data'!AC47</f>
        <v>3.5000000000000003E-2</v>
      </c>
      <c r="AD218" s="261">
        <f>'Expected NPV &amp; Common Data'!AD47</f>
        <v>3.5000000000000003E-2</v>
      </c>
    </row>
    <row r="219" spans="1:30" outlineLevel="1">
      <c r="A219" s="13" t="s">
        <v>50</v>
      </c>
      <c r="B219" s="13" t="s">
        <v>88</v>
      </c>
      <c r="C219" s="38"/>
      <c r="D219" s="46">
        <f t="shared" ref="D219:AD219" si="64">IF(D165&gt;D215,D214,IF(D165&gt;D217,D216,D218))</f>
        <v>3.3500000000000002E-2</v>
      </c>
      <c r="E219" s="46">
        <f t="shared" si="64"/>
        <v>3.3500000000000002E-2</v>
      </c>
      <c r="F219" s="46">
        <f t="shared" si="64"/>
        <v>3.3500000000000002E-2</v>
      </c>
      <c r="G219" s="46">
        <f t="shared" si="64"/>
        <v>3.3500000000000002E-2</v>
      </c>
      <c r="H219" s="46">
        <f t="shared" si="64"/>
        <v>3.3500000000000002E-2</v>
      </c>
      <c r="I219" s="46">
        <f t="shared" si="64"/>
        <v>3.3500000000000002E-2</v>
      </c>
      <c r="J219" s="46">
        <f t="shared" si="64"/>
        <v>3.3500000000000002E-2</v>
      </c>
      <c r="K219" s="46">
        <f t="shared" si="64"/>
        <v>3.3500000000000002E-2</v>
      </c>
      <c r="L219" s="46">
        <f t="shared" si="64"/>
        <v>3.3500000000000002E-2</v>
      </c>
      <c r="M219" s="46">
        <f t="shared" si="64"/>
        <v>3.3500000000000002E-2</v>
      </c>
      <c r="N219" s="46">
        <f t="shared" si="64"/>
        <v>3.3500000000000002E-2</v>
      </c>
      <c r="O219" s="46">
        <f t="shared" si="64"/>
        <v>3.3500000000000002E-2</v>
      </c>
      <c r="P219" s="46">
        <f t="shared" si="64"/>
        <v>3.3500000000000002E-2</v>
      </c>
      <c r="Q219" s="46">
        <f t="shared" si="64"/>
        <v>3.3500000000000002E-2</v>
      </c>
      <c r="R219" s="46">
        <f t="shared" si="64"/>
        <v>3.3500000000000002E-2</v>
      </c>
      <c r="S219" s="46">
        <f t="shared" si="64"/>
        <v>3.3500000000000002E-2</v>
      </c>
      <c r="T219" s="46">
        <f t="shared" si="64"/>
        <v>3.3500000000000002E-2</v>
      </c>
      <c r="U219" s="46">
        <f t="shared" si="64"/>
        <v>3.3500000000000002E-2</v>
      </c>
      <c r="V219" s="46">
        <f t="shared" si="64"/>
        <v>3.3500000000000002E-2</v>
      </c>
      <c r="W219" s="46">
        <f t="shared" si="64"/>
        <v>3.3500000000000002E-2</v>
      </c>
      <c r="X219" s="46">
        <f t="shared" si="64"/>
        <v>3.3500000000000002E-2</v>
      </c>
      <c r="Y219" s="46">
        <f t="shared" si="64"/>
        <v>3.3500000000000002E-2</v>
      </c>
      <c r="Z219" s="46">
        <f t="shared" si="64"/>
        <v>3.3500000000000002E-2</v>
      </c>
      <c r="AA219" s="46">
        <f t="shared" si="64"/>
        <v>3.3500000000000002E-2</v>
      </c>
      <c r="AB219" s="46">
        <f t="shared" si="64"/>
        <v>3.3500000000000002E-2</v>
      </c>
      <c r="AC219" s="46">
        <f t="shared" si="64"/>
        <v>3.3500000000000002E-2</v>
      </c>
      <c r="AD219" s="46">
        <f t="shared" si="64"/>
        <v>3.3500000000000002E-2</v>
      </c>
    </row>
    <row r="220" spans="1:30" outlineLevel="1">
      <c r="A220" s="13" t="s">
        <v>87</v>
      </c>
      <c r="B220" s="13" t="s">
        <v>88</v>
      </c>
      <c r="C220" s="38"/>
      <c r="D220" s="46">
        <f t="shared" ref="D220:AD220" si="65">1-D219</f>
        <v>0.96650000000000003</v>
      </c>
      <c r="E220" s="46">
        <f t="shared" si="65"/>
        <v>0.96650000000000003</v>
      </c>
      <c r="F220" s="46">
        <f t="shared" si="65"/>
        <v>0.96650000000000003</v>
      </c>
      <c r="G220" s="46">
        <f t="shared" si="65"/>
        <v>0.96650000000000003</v>
      </c>
      <c r="H220" s="46">
        <f t="shared" si="65"/>
        <v>0.96650000000000003</v>
      </c>
      <c r="I220" s="46">
        <f t="shared" si="65"/>
        <v>0.96650000000000003</v>
      </c>
      <c r="J220" s="46">
        <f t="shared" si="65"/>
        <v>0.96650000000000003</v>
      </c>
      <c r="K220" s="46">
        <f t="shared" si="65"/>
        <v>0.96650000000000003</v>
      </c>
      <c r="L220" s="46">
        <f t="shared" si="65"/>
        <v>0.96650000000000003</v>
      </c>
      <c r="M220" s="46">
        <f t="shared" si="65"/>
        <v>0.96650000000000003</v>
      </c>
      <c r="N220" s="46">
        <f t="shared" si="65"/>
        <v>0.96650000000000003</v>
      </c>
      <c r="O220" s="46">
        <f t="shared" si="65"/>
        <v>0.96650000000000003</v>
      </c>
      <c r="P220" s="46">
        <f t="shared" si="65"/>
        <v>0.96650000000000003</v>
      </c>
      <c r="Q220" s="46">
        <f t="shared" si="65"/>
        <v>0.96650000000000003</v>
      </c>
      <c r="R220" s="46">
        <f t="shared" si="65"/>
        <v>0.96650000000000003</v>
      </c>
      <c r="S220" s="46">
        <f t="shared" si="65"/>
        <v>0.96650000000000003</v>
      </c>
      <c r="T220" s="46">
        <f t="shared" si="65"/>
        <v>0.96650000000000003</v>
      </c>
      <c r="U220" s="46">
        <f t="shared" si="65"/>
        <v>0.96650000000000003</v>
      </c>
      <c r="V220" s="46">
        <f t="shared" si="65"/>
        <v>0.96650000000000003</v>
      </c>
      <c r="W220" s="46">
        <f t="shared" si="65"/>
        <v>0.96650000000000003</v>
      </c>
      <c r="X220" s="46">
        <f t="shared" si="65"/>
        <v>0.96650000000000003</v>
      </c>
      <c r="Y220" s="46">
        <f t="shared" si="65"/>
        <v>0.96650000000000003</v>
      </c>
      <c r="Z220" s="46">
        <f t="shared" si="65"/>
        <v>0.96650000000000003</v>
      </c>
      <c r="AA220" s="46">
        <f t="shared" si="65"/>
        <v>0.96650000000000003</v>
      </c>
      <c r="AB220" s="46">
        <f t="shared" si="65"/>
        <v>0.96650000000000003</v>
      </c>
      <c r="AC220" s="46">
        <f t="shared" si="65"/>
        <v>0.96650000000000003</v>
      </c>
      <c r="AD220" s="46">
        <f t="shared" si="65"/>
        <v>0.96650000000000003</v>
      </c>
    </row>
    <row r="221" spans="1:30" outlineLevel="1">
      <c r="A221" s="13" t="s">
        <v>204</v>
      </c>
      <c r="C221" s="38"/>
      <c r="D221" s="46">
        <f t="shared" ref="D221:AD221" si="66">D212*D220</f>
        <v>0</v>
      </c>
      <c r="E221" s="46">
        <f t="shared" si="66"/>
        <v>0</v>
      </c>
      <c r="F221" s="46">
        <f t="shared" si="66"/>
        <v>0.29961500000000002</v>
      </c>
      <c r="G221" s="46">
        <f t="shared" si="66"/>
        <v>0.29961500000000002</v>
      </c>
      <c r="H221" s="46">
        <f t="shared" si="66"/>
        <v>0.29961500000000002</v>
      </c>
      <c r="I221" s="46">
        <f t="shared" si="66"/>
        <v>0.29961500000000002</v>
      </c>
      <c r="J221" s="46">
        <f t="shared" si="66"/>
        <v>0.29961500000000002</v>
      </c>
      <c r="K221" s="46">
        <f t="shared" si="66"/>
        <v>0.29961500000000002</v>
      </c>
      <c r="L221" s="46">
        <f t="shared" si="66"/>
        <v>0.29961500000000002</v>
      </c>
      <c r="M221" s="46">
        <f t="shared" si="66"/>
        <v>0.29961500000000002</v>
      </c>
      <c r="N221" s="46">
        <f t="shared" si="66"/>
        <v>0.29961500000000002</v>
      </c>
      <c r="O221" s="46">
        <f t="shared" si="66"/>
        <v>0.29961500000000002</v>
      </c>
      <c r="P221" s="46">
        <f t="shared" si="66"/>
        <v>0.29961500000000002</v>
      </c>
      <c r="Q221" s="46">
        <f t="shared" si="66"/>
        <v>0.29961500000000002</v>
      </c>
      <c r="R221" s="46">
        <f t="shared" si="66"/>
        <v>0.29961500000000002</v>
      </c>
      <c r="S221" s="46">
        <f t="shared" si="66"/>
        <v>0.29961500000000002</v>
      </c>
      <c r="T221" s="46">
        <f t="shared" si="66"/>
        <v>0.29961500000000002</v>
      </c>
      <c r="U221" s="46">
        <f t="shared" si="66"/>
        <v>0</v>
      </c>
      <c r="V221" s="46">
        <f t="shared" si="66"/>
        <v>0</v>
      </c>
      <c r="W221" s="46">
        <f t="shared" si="66"/>
        <v>0</v>
      </c>
      <c r="X221" s="46">
        <f t="shared" si="66"/>
        <v>0</v>
      </c>
      <c r="Y221" s="46">
        <f t="shared" si="66"/>
        <v>0</v>
      </c>
      <c r="Z221" s="46">
        <f t="shared" si="66"/>
        <v>0</v>
      </c>
      <c r="AA221" s="46">
        <f t="shared" si="66"/>
        <v>0</v>
      </c>
      <c r="AB221" s="46">
        <f t="shared" si="66"/>
        <v>0</v>
      </c>
      <c r="AC221" s="46">
        <f t="shared" si="66"/>
        <v>0</v>
      </c>
      <c r="AD221" s="46">
        <f t="shared" si="66"/>
        <v>0</v>
      </c>
    </row>
    <row r="222" spans="1:30" outlineLevel="1">
      <c r="A222" s="49" t="s">
        <v>153</v>
      </c>
      <c r="B222" s="46"/>
      <c r="C222" s="46"/>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row>
    <row r="223" spans="1:30" outlineLevel="1">
      <c r="A223" s="247" t="str">
        <f>'Expected NPV &amp; Common Data'!A49</f>
        <v xml:space="preserve">Copper deduction - minimum </v>
      </c>
      <c r="B223" s="247" t="str">
        <f>'Expected NPV &amp; Common Data'!B49</f>
        <v>% Cu (absolute)</v>
      </c>
      <c r="C223" s="247"/>
      <c r="D223" s="261">
        <f>'Expected NPV &amp; Common Data'!D49</f>
        <v>0.01</v>
      </c>
      <c r="E223" s="261">
        <f>'Expected NPV &amp; Common Data'!E49</f>
        <v>0.01</v>
      </c>
      <c r="F223" s="261">
        <f>'Expected NPV &amp; Common Data'!F49</f>
        <v>0.01</v>
      </c>
      <c r="G223" s="261">
        <f>'Expected NPV &amp; Common Data'!G49</f>
        <v>0.01</v>
      </c>
      <c r="H223" s="261">
        <f>'Expected NPV &amp; Common Data'!H49</f>
        <v>0.01</v>
      </c>
      <c r="I223" s="261">
        <f>'Expected NPV &amp; Common Data'!I49</f>
        <v>0.01</v>
      </c>
      <c r="J223" s="261">
        <f>'Expected NPV &amp; Common Data'!J49</f>
        <v>0.01</v>
      </c>
      <c r="K223" s="261">
        <f>'Expected NPV &amp; Common Data'!K49</f>
        <v>0.01</v>
      </c>
      <c r="L223" s="261">
        <f>'Expected NPV &amp; Common Data'!L49</f>
        <v>0.01</v>
      </c>
      <c r="M223" s="261">
        <f>'Expected NPV &amp; Common Data'!M49</f>
        <v>0.01</v>
      </c>
      <c r="N223" s="261">
        <f>'Expected NPV &amp; Common Data'!N49</f>
        <v>0.01</v>
      </c>
      <c r="O223" s="261">
        <f>'Expected NPV &amp; Common Data'!O49</f>
        <v>0.01</v>
      </c>
      <c r="P223" s="261">
        <f>'Expected NPV &amp; Common Data'!P49</f>
        <v>0.01</v>
      </c>
      <c r="Q223" s="261">
        <f>'Expected NPV &amp; Common Data'!Q49</f>
        <v>0.01</v>
      </c>
      <c r="R223" s="261">
        <f>'Expected NPV &amp; Common Data'!R49</f>
        <v>0.01</v>
      </c>
      <c r="S223" s="261">
        <f>'Expected NPV &amp; Common Data'!S49</f>
        <v>0.01</v>
      </c>
      <c r="T223" s="261">
        <f>'Expected NPV &amp; Common Data'!T49</f>
        <v>0.01</v>
      </c>
      <c r="U223" s="261">
        <f>'Expected NPV &amp; Common Data'!U49</f>
        <v>0.01</v>
      </c>
      <c r="V223" s="261">
        <f>'Expected NPV &amp; Common Data'!V49</f>
        <v>0.01</v>
      </c>
      <c r="W223" s="261">
        <f>'Expected NPV &amp; Common Data'!W49</f>
        <v>0.01</v>
      </c>
      <c r="X223" s="261">
        <f>'Expected NPV &amp; Common Data'!X49</f>
        <v>0.01</v>
      </c>
      <c r="Y223" s="261">
        <f>'Expected NPV &amp; Common Data'!Y49</f>
        <v>0.01</v>
      </c>
      <c r="Z223" s="261">
        <f>'Expected NPV &amp; Common Data'!Z49</f>
        <v>0.01</v>
      </c>
      <c r="AA223" s="261">
        <f>'Expected NPV &amp; Common Data'!AA49</f>
        <v>0.01</v>
      </c>
      <c r="AB223" s="261">
        <f>'Expected NPV &amp; Common Data'!AB49</f>
        <v>0.01</v>
      </c>
      <c r="AC223" s="261">
        <f>'Expected NPV &amp; Common Data'!AC49</f>
        <v>0.01</v>
      </c>
      <c r="AD223" s="261">
        <f>'Expected NPV &amp; Common Data'!AD49</f>
        <v>0.01</v>
      </c>
    </row>
    <row r="224" spans="1:30" outlineLevel="1">
      <c r="A224" s="13" t="s">
        <v>205</v>
      </c>
      <c r="C224" s="38"/>
      <c r="D224" s="46">
        <f t="shared" ref="D224:AD224" si="67">IF(D212=0,0,D212-D223)</f>
        <v>0</v>
      </c>
      <c r="E224" s="46">
        <f t="shared" si="67"/>
        <v>0</v>
      </c>
      <c r="F224" s="46">
        <f t="shared" si="67"/>
        <v>0.3</v>
      </c>
      <c r="G224" s="46">
        <f t="shared" si="67"/>
        <v>0.3</v>
      </c>
      <c r="H224" s="46">
        <f t="shared" si="67"/>
        <v>0.3</v>
      </c>
      <c r="I224" s="46">
        <f t="shared" si="67"/>
        <v>0.3</v>
      </c>
      <c r="J224" s="46">
        <f t="shared" si="67"/>
        <v>0.3</v>
      </c>
      <c r="K224" s="46">
        <f t="shared" si="67"/>
        <v>0.3</v>
      </c>
      <c r="L224" s="46">
        <f t="shared" si="67"/>
        <v>0.3</v>
      </c>
      <c r="M224" s="46">
        <f t="shared" si="67"/>
        <v>0.3</v>
      </c>
      <c r="N224" s="46">
        <f t="shared" si="67"/>
        <v>0.3</v>
      </c>
      <c r="O224" s="46">
        <f t="shared" si="67"/>
        <v>0.3</v>
      </c>
      <c r="P224" s="46">
        <f t="shared" si="67"/>
        <v>0.3</v>
      </c>
      <c r="Q224" s="46">
        <f t="shared" si="67"/>
        <v>0.3</v>
      </c>
      <c r="R224" s="46">
        <f t="shared" si="67"/>
        <v>0.3</v>
      </c>
      <c r="S224" s="46">
        <f t="shared" si="67"/>
        <v>0.3</v>
      </c>
      <c r="T224" s="46">
        <f t="shared" si="67"/>
        <v>0.3</v>
      </c>
      <c r="U224" s="46">
        <f t="shared" si="67"/>
        <v>0</v>
      </c>
      <c r="V224" s="46">
        <f t="shared" si="67"/>
        <v>0</v>
      </c>
      <c r="W224" s="46">
        <f t="shared" si="67"/>
        <v>0</v>
      </c>
      <c r="X224" s="46">
        <f t="shared" si="67"/>
        <v>0</v>
      </c>
      <c r="Y224" s="46">
        <f t="shared" si="67"/>
        <v>0</v>
      </c>
      <c r="Z224" s="46">
        <f t="shared" si="67"/>
        <v>0</v>
      </c>
      <c r="AA224" s="46">
        <f t="shared" si="67"/>
        <v>0</v>
      </c>
      <c r="AB224" s="46">
        <f t="shared" si="67"/>
        <v>0</v>
      </c>
      <c r="AC224" s="46">
        <f t="shared" si="67"/>
        <v>0</v>
      </c>
      <c r="AD224" s="46">
        <f t="shared" si="67"/>
        <v>0</v>
      </c>
    </row>
    <row r="225" spans="1:30" outlineLevel="1">
      <c r="A225" s="49" t="s">
        <v>206</v>
      </c>
      <c r="C225" s="38"/>
      <c r="D225" s="46"/>
      <c r="E225" s="46"/>
      <c r="F225" s="46"/>
      <c r="G225" s="46"/>
      <c r="H225" s="46"/>
      <c r="I225" s="46"/>
      <c r="J225" s="46"/>
      <c r="K225" s="46"/>
      <c r="L225" s="46"/>
      <c r="M225" s="46"/>
      <c r="N225" s="46"/>
      <c r="O225" s="46"/>
      <c r="P225" s="46"/>
      <c r="Q225" s="46"/>
      <c r="R225" s="46"/>
      <c r="S225" s="46"/>
      <c r="T225" s="46"/>
      <c r="U225" s="46"/>
      <c r="V225" s="46"/>
      <c r="W225" s="46"/>
      <c r="X225" s="46"/>
      <c r="Y225" s="46"/>
      <c r="Z225" s="46"/>
      <c r="AA225" s="46"/>
      <c r="AB225" s="46"/>
      <c r="AC225" s="46"/>
      <c r="AD225" s="46"/>
    </row>
    <row r="226" spans="1:30" outlineLevel="1">
      <c r="A226" s="13" t="s">
        <v>46</v>
      </c>
      <c r="B226" s="13" t="s">
        <v>65</v>
      </c>
      <c r="C226" s="38"/>
      <c r="D226" s="46">
        <f t="shared" ref="D226:AD226" si="68">MIN(D221,D224)</f>
        <v>0</v>
      </c>
      <c r="E226" s="46">
        <f t="shared" si="68"/>
        <v>0</v>
      </c>
      <c r="F226" s="46">
        <f t="shared" si="68"/>
        <v>0.29961500000000002</v>
      </c>
      <c r="G226" s="46">
        <f t="shared" si="68"/>
        <v>0.29961500000000002</v>
      </c>
      <c r="H226" s="46">
        <f t="shared" si="68"/>
        <v>0.29961500000000002</v>
      </c>
      <c r="I226" s="46">
        <f t="shared" si="68"/>
        <v>0.29961500000000002</v>
      </c>
      <c r="J226" s="46">
        <f t="shared" si="68"/>
        <v>0.29961500000000002</v>
      </c>
      <c r="K226" s="46">
        <f t="shared" si="68"/>
        <v>0.29961500000000002</v>
      </c>
      <c r="L226" s="46">
        <f t="shared" si="68"/>
        <v>0.29961500000000002</v>
      </c>
      <c r="M226" s="46">
        <f t="shared" si="68"/>
        <v>0.29961500000000002</v>
      </c>
      <c r="N226" s="46">
        <f t="shared" si="68"/>
        <v>0.29961500000000002</v>
      </c>
      <c r="O226" s="46">
        <f t="shared" si="68"/>
        <v>0.29961500000000002</v>
      </c>
      <c r="P226" s="46">
        <f t="shared" si="68"/>
        <v>0.29961500000000002</v>
      </c>
      <c r="Q226" s="46">
        <f t="shared" si="68"/>
        <v>0.29961500000000002</v>
      </c>
      <c r="R226" s="46">
        <f t="shared" si="68"/>
        <v>0.29961500000000002</v>
      </c>
      <c r="S226" s="46">
        <f t="shared" si="68"/>
        <v>0.29961500000000002</v>
      </c>
      <c r="T226" s="46">
        <f t="shared" si="68"/>
        <v>0.29961500000000002</v>
      </c>
      <c r="U226" s="46">
        <f t="shared" si="68"/>
        <v>0</v>
      </c>
      <c r="V226" s="46">
        <f t="shared" si="68"/>
        <v>0</v>
      </c>
      <c r="W226" s="46">
        <f t="shared" si="68"/>
        <v>0</v>
      </c>
      <c r="X226" s="46">
        <f t="shared" si="68"/>
        <v>0</v>
      </c>
      <c r="Y226" s="46">
        <f t="shared" si="68"/>
        <v>0</v>
      </c>
      <c r="Z226" s="46">
        <f t="shared" si="68"/>
        <v>0</v>
      </c>
      <c r="AA226" s="46">
        <f t="shared" si="68"/>
        <v>0</v>
      </c>
      <c r="AB226" s="46">
        <f t="shared" si="68"/>
        <v>0</v>
      </c>
      <c r="AC226" s="46">
        <f t="shared" si="68"/>
        <v>0</v>
      </c>
      <c r="AD226" s="46">
        <f t="shared" si="68"/>
        <v>0</v>
      </c>
    </row>
    <row r="227" spans="1:30" outlineLevel="1">
      <c r="A227" s="13" t="str">
        <f>A100</f>
        <v>Copper price forecast - High Case</v>
      </c>
      <c r="B227" s="13" t="str">
        <f>B100</f>
        <v>US$/ lb real</v>
      </c>
      <c r="C227" s="56"/>
      <c r="D227" s="57">
        <f t="shared" ref="D227:AD227" si="69">D100</f>
        <v>5</v>
      </c>
      <c r="E227" s="57">
        <f t="shared" si="69"/>
        <v>5</v>
      </c>
      <c r="F227" s="57">
        <f t="shared" si="69"/>
        <v>5</v>
      </c>
      <c r="G227" s="57">
        <f t="shared" si="69"/>
        <v>5</v>
      </c>
      <c r="H227" s="57">
        <f t="shared" si="69"/>
        <v>5</v>
      </c>
      <c r="I227" s="57">
        <f t="shared" si="69"/>
        <v>5</v>
      </c>
      <c r="J227" s="57">
        <f t="shared" si="69"/>
        <v>5</v>
      </c>
      <c r="K227" s="57">
        <f t="shared" si="69"/>
        <v>5</v>
      </c>
      <c r="L227" s="57">
        <f t="shared" si="69"/>
        <v>5</v>
      </c>
      <c r="M227" s="57">
        <f t="shared" si="69"/>
        <v>5</v>
      </c>
      <c r="N227" s="57">
        <f t="shared" si="69"/>
        <v>5</v>
      </c>
      <c r="O227" s="57">
        <f t="shared" si="69"/>
        <v>5</v>
      </c>
      <c r="P227" s="57">
        <f t="shared" si="69"/>
        <v>5</v>
      </c>
      <c r="Q227" s="57">
        <f t="shared" si="69"/>
        <v>5</v>
      </c>
      <c r="R227" s="57">
        <f t="shared" si="69"/>
        <v>5</v>
      </c>
      <c r="S227" s="57">
        <f t="shared" si="69"/>
        <v>5</v>
      </c>
      <c r="T227" s="57">
        <f t="shared" si="69"/>
        <v>5</v>
      </c>
      <c r="U227" s="57">
        <f t="shared" si="69"/>
        <v>5</v>
      </c>
      <c r="V227" s="57">
        <f t="shared" si="69"/>
        <v>5</v>
      </c>
      <c r="W227" s="57">
        <f t="shared" si="69"/>
        <v>5</v>
      </c>
      <c r="X227" s="57">
        <f t="shared" si="69"/>
        <v>5</v>
      </c>
      <c r="Y227" s="57">
        <f t="shared" si="69"/>
        <v>5</v>
      </c>
      <c r="Z227" s="57">
        <f t="shared" si="69"/>
        <v>5</v>
      </c>
      <c r="AA227" s="57">
        <f t="shared" si="69"/>
        <v>5</v>
      </c>
      <c r="AB227" s="57">
        <f t="shared" si="69"/>
        <v>5</v>
      </c>
      <c r="AC227" s="57">
        <f t="shared" si="69"/>
        <v>5</v>
      </c>
      <c r="AD227" s="57">
        <f t="shared" si="69"/>
        <v>5</v>
      </c>
    </row>
    <row r="228" spans="1:30" s="14" customFormat="1" outlineLevel="1">
      <c r="A228" s="14" t="s">
        <v>48</v>
      </c>
      <c r="B228" s="13" t="s">
        <v>207</v>
      </c>
      <c r="C228" s="92"/>
      <c r="D228" s="55">
        <f t="shared" ref="D228:AD228" si="70">D226*D227*2204.6</f>
        <v>0</v>
      </c>
      <c r="E228" s="55">
        <f t="shared" si="70"/>
        <v>0</v>
      </c>
      <c r="F228" s="55">
        <f t="shared" si="70"/>
        <v>3302.6561449999999</v>
      </c>
      <c r="G228" s="55">
        <f t="shared" si="70"/>
        <v>3302.6561449999999</v>
      </c>
      <c r="H228" s="55">
        <f t="shared" si="70"/>
        <v>3302.6561449999999</v>
      </c>
      <c r="I228" s="55">
        <f t="shared" si="70"/>
        <v>3302.6561449999999</v>
      </c>
      <c r="J228" s="55">
        <f t="shared" si="70"/>
        <v>3302.6561449999999</v>
      </c>
      <c r="K228" s="55">
        <f t="shared" si="70"/>
        <v>3302.6561449999999</v>
      </c>
      <c r="L228" s="55">
        <f t="shared" si="70"/>
        <v>3302.6561449999999</v>
      </c>
      <c r="M228" s="55">
        <f t="shared" si="70"/>
        <v>3302.6561449999999</v>
      </c>
      <c r="N228" s="55">
        <f t="shared" si="70"/>
        <v>3302.6561449999999</v>
      </c>
      <c r="O228" s="55">
        <f t="shared" si="70"/>
        <v>3302.6561449999999</v>
      </c>
      <c r="P228" s="55">
        <f t="shared" si="70"/>
        <v>3302.6561449999999</v>
      </c>
      <c r="Q228" s="55">
        <f t="shared" si="70"/>
        <v>3302.6561449999999</v>
      </c>
      <c r="R228" s="55">
        <f t="shared" si="70"/>
        <v>3302.6561449999999</v>
      </c>
      <c r="S228" s="55">
        <f t="shared" si="70"/>
        <v>3302.6561449999999</v>
      </c>
      <c r="T228" s="55">
        <f t="shared" si="70"/>
        <v>3302.6561449999999</v>
      </c>
      <c r="U228" s="55">
        <f t="shared" si="70"/>
        <v>0</v>
      </c>
      <c r="V228" s="55">
        <f t="shared" si="70"/>
        <v>0</v>
      </c>
      <c r="W228" s="55">
        <f t="shared" si="70"/>
        <v>0</v>
      </c>
      <c r="X228" s="55">
        <f t="shared" si="70"/>
        <v>0</v>
      </c>
      <c r="Y228" s="55">
        <f t="shared" si="70"/>
        <v>0</v>
      </c>
      <c r="Z228" s="55">
        <f t="shared" si="70"/>
        <v>0</v>
      </c>
      <c r="AA228" s="55">
        <f t="shared" si="70"/>
        <v>0</v>
      </c>
      <c r="AB228" s="55">
        <f t="shared" si="70"/>
        <v>0</v>
      </c>
      <c r="AC228" s="55">
        <f t="shared" si="70"/>
        <v>0</v>
      </c>
      <c r="AD228" s="55">
        <f t="shared" si="70"/>
        <v>0</v>
      </c>
    </row>
    <row r="229" spans="1:30" s="134" customFormat="1" outlineLevel="1">
      <c r="A229" s="135"/>
      <c r="C229" s="136"/>
      <c r="D229" s="64"/>
      <c r="E229" s="64"/>
      <c r="F229" s="64"/>
      <c r="G229" s="64"/>
      <c r="H229" s="64"/>
      <c r="I229" s="64"/>
      <c r="J229" s="64"/>
      <c r="K229" s="64"/>
      <c r="L229" s="64"/>
      <c r="M229" s="64"/>
      <c r="N229" s="64"/>
      <c r="O229" s="64"/>
      <c r="P229" s="64"/>
      <c r="Q229" s="64"/>
      <c r="R229" s="64"/>
      <c r="S229" s="64"/>
      <c r="T229" s="64"/>
      <c r="U229" s="64"/>
      <c r="V229" s="64"/>
      <c r="W229" s="64"/>
      <c r="X229" s="64"/>
      <c r="Y229" s="64"/>
      <c r="Z229" s="64"/>
      <c r="AA229" s="64"/>
      <c r="AB229" s="64"/>
      <c r="AC229" s="64"/>
      <c r="AD229" s="64"/>
    </row>
    <row r="230" spans="1:30" outlineLevel="1">
      <c r="A230" s="50" t="s">
        <v>262</v>
      </c>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c r="AA230" s="42"/>
      <c r="AB230" s="42"/>
      <c r="AC230" s="42"/>
      <c r="AD230" s="42"/>
    </row>
    <row r="231" spans="1:30" outlineLevel="1">
      <c r="A231" s="13" t="str">
        <f>A167</f>
        <v>copper concentrate grade - gold</v>
      </c>
      <c r="B231" s="13" t="str">
        <f>B167</f>
        <v>g/t Au</v>
      </c>
      <c r="C231" s="56"/>
      <c r="D231" s="56">
        <f t="shared" ref="D231:AD231" si="71">D167</f>
        <v>0</v>
      </c>
      <c r="E231" s="56">
        <f t="shared" si="71"/>
        <v>0</v>
      </c>
      <c r="F231" s="56">
        <f t="shared" si="71"/>
        <v>6.2161458333333348</v>
      </c>
      <c r="G231" s="56">
        <f t="shared" si="71"/>
        <v>6.216145833333333</v>
      </c>
      <c r="H231" s="56">
        <f t="shared" si="71"/>
        <v>6.216145833333333</v>
      </c>
      <c r="I231" s="56">
        <f t="shared" si="71"/>
        <v>6.216145833333333</v>
      </c>
      <c r="J231" s="56">
        <f t="shared" si="71"/>
        <v>6.2161458333333339</v>
      </c>
      <c r="K231" s="56">
        <f t="shared" si="71"/>
        <v>6.0170833333333338</v>
      </c>
      <c r="L231" s="56">
        <f t="shared" si="71"/>
        <v>5.8124999999999991</v>
      </c>
      <c r="M231" s="56">
        <f t="shared" si="71"/>
        <v>5.8124999999999991</v>
      </c>
      <c r="N231" s="56">
        <f t="shared" si="71"/>
        <v>5.8124999999999991</v>
      </c>
      <c r="O231" s="56">
        <f t="shared" si="71"/>
        <v>5.8124999999999991</v>
      </c>
      <c r="P231" s="56">
        <f t="shared" si="71"/>
        <v>5.8418684210526317</v>
      </c>
      <c r="Q231" s="56">
        <f t="shared" si="71"/>
        <v>5.5482954545454541</v>
      </c>
      <c r="R231" s="56">
        <f t="shared" si="71"/>
        <v>5.5482954545454541</v>
      </c>
      <c r="S231" s="56">
        <f t="shared" si="71"/>
        <v>5.5482954545454541</v>
      </c>
      <c r="T231" s="56">
        <f t="shared" si="71"/>
        <v>5.548295454545455</v>
      </c>
      <c r="U231" s="56">
        <f t="shared" si="71"/>
        <v>0</v>
      </c>
      <c r="V231" s="56">
        <f t="shared" si="71"/>
        <v>0</v>
      </c>
      <c r="W231" s="56">
        <f t="shared" si="71"/>
        <v>0</v>
      </c>
      <c r="X231" s="56">
        <f t="shared" si="71"/>
        <v>0</v>
      </c>
      <c r="Y231" s="56">
        <f t="shared" si="71"/>
        <v>0</v>
      </c>
      <c r="Z231" s="56">
        <f t="shared" si="71"/>
        <v>0</v>
      </c>
      <c r="AA231" s="56">
        <f t="shared" si="71"/>
        <v>0</v>
      </c>
      <c r="AB231" s="56">
        <f t="shared" si="71"/>
        <v>0</v>
      </c>
      <c r="AC231" s="56">
        <f t="shared" si="71"/>
        <v>0</v>
      </c>
      <c r="AD231" s="56">
        <f t="shared" si="71"/>
        <v>0</v>
      </c>
    </row>
    <row r="232" spans="1:30" s="134" customFormat="1" outlineLevel="1">
      <c r="A232" s="63" t="str">
        <f>'Expected NPV &amp; Common Data'!A52</f>
        <v>25 Nov 2025 S Mullah email: gold content less than or equal to 1 gram/dmt, no payment applies.  For gold content above 1 g/dmt up to 3g/dmt buyer pays for 90% of the agreed gold content.  Sliding scale for gold content above 3 g/dmt.</v>
      </c>
      <c r="C232" s="64"/>
      <c r="D232" s="64"/>
      <c r="E232" s="64"/>
      <c r="F232" s="64"/>
      <c r="G232" s="64"/>
      <c r="H232" s="64"/>
      <c r="I232" s="64"/>
      <c r="J232" s="64"/>
      <c r="K232" s="64"/>
      <c r="L232" s="64"/>
      <c r="M232" s="64"/>
      <c r="N232" s="64"/>
      <c r="O232" s="64"/>
      <c r="P232" s="64"/>
      <c r="Q232" s="64"/>
      <c r="R232" s="64"/>
      <c r="S232" s="64"/>
      <c r="T232" s="64"/>
      <c r="U232" s="64"/>
      <c r="V232" s="64"/>
      <c r="W232" s="64"/>
      <c r="X232" s="64"/>
      <c r="Y232" s="64"/>
      <c r="Z232" s="64"/>
      <c r="AA232" s="64"/>
      <c r="AB232" s="64"/>
      <c r="AC232" s="64"/>
      <c r="AD232" s="64"/>
    </row>
    <row r="233" spans="1:30" outlineLevel="1">
      <c r="A233" s="247" t="str">
        <f>'Expected NPV &amp; Common Data'!A53</f>
        <v>gold deduction</v>
      </c>
      <c r="B233" s="247" t="str">
        <f>'Expected NPV &amp; Common Data'!B53</f>
        <v>% of Au total content</v>
      </c>
      <c r="C233" s="247"/>
      <c r="D233" s="262">
        <f>'Expected NPV &amp; Common Data'!D53</f>
        <v>1</v>
      </c>
      <c r="E233" s="262">
        <f>'Expected NPV &amp; Common Data'!E53</f>
        <v>1</v>
      </c>
      <c r="F233" s="262">
        <f>'Expected NPV &amp; Common Data'!F53</f>
        <v>1</v>
      </c>
      <c r="G233" s="262">
        <f>'Expected NPV &amp; Common Data'!G53</f>
        <v>1</v>
      </c>
      <c r="H233" s="262">
        <f>'Expected NPV &amp; Common Data'!H53</f>
        <v>1</v>
      </c>
      <c r="I233" s="262">
        <f>'Expected NPV &amp; Common Data'!I53</f>
        <v>1</v>
      </c>
      <c r="J233" s="262">
        <f>'Expected NPV &amp; Common Data'!J53</f>
        <v>1</v>
      </c>
      <c r="K233" s="262">
        <f>'Expected NPV &amp; Common Data'!K53</f>
        <v>1</v>
      </c>
      <c r="L233" s="262">
        <f>'Expected NPV &amp; Common Data'!L53</f>
        <v>1</v>
      </c>
      <c r="M233" s="262">
        <f>'Expected NPV &amp; Common Data'!M53</f>
        <v>1</v>
      </c>
      <c r="N233" s="262">
        <f>'Expected NPV &amp; Common Data'!N53</f>
        <v>1</v>
      </c>
      <c r="O233" s="262">
        <f>'Expected NPV &amp; Common Data'!O53</f>
        <v>1</v>
      </c>
      <c r="P233" s="262">
        <f>'Expected NPV &amp; Common Data'!P53</f>
        <v>1</v>
      </c>
      <c r="Q233" s="262">
        <f>'Expected NPV &amp; Common Data'!Q53</f>
        <v>1</v>
      </c>
      <c r="R233" s="262">
        <f>'Expected NPV &amp; Common Data'!R53</f>
        <v>1</v>
      </c>
      <c r="S233" s="262">
        <f>'Expected NPV &amp; Common Data'!S53</f>
        <v>1</v>
      </c>
      <c r="T233" s="262">
        <f>'Expected NPV &amp; Common Data'!T53</f>
        <v>1</v>
      </c>
      <c r="U233" s="262">
        <f>'Expected NPV &amp; Common Data'!U53</f>
        <v>1</v>
      </c>
      <c r="V233" s="262">
        <f>'Expected NPV &amp; Common Data'!V53</f>
        <v>1</v>
      </c>
      <c r="W233" s="262">
        <f>'Expected NPV &amp; Common Data'!W53</f>
        <v>1</v>
      </c>
      <c r="X233" s="262">
        <f>'Expected NPV &amp; Common Data'!X53</f>
        <v>1</v>
      </c>
      <c r="Y233" s="262">
        <f>'Expected NPV &amp; Common Data'!Y53</f>
        <v>1</v>
      </c>
      <c r="Z233" s="262">
        <f>'Expected NPV &amp; Common Data'!Z53</f>
        <v>1</v>
      </c>
      <c r="AA233" s="262">
        <f>'Expected NPV &amp; Common Data'!AA53</f>
        <v>1</v>
      </c>
      <c r="AB233" s="262">
        <f>'Expected NPV &amp; Common Data'!AB53</f>
        <v>1</v>
      </c>
      <c r="AC233" s="262">
        <f>'Expected NPV &amp; Common Data'!AC53</f>
        <v>1</v>
      </c>
      <c r="AD233" s="262">
        <f>'Expected NPV &amp; Common Data'!AD53</f>
        <v>1</v>
      </c>
    </row>
    <row r="234" spans="1:30" outlineLevel="1">
      <c r="A234" s="247" t="str">
        <f>'Expected NPV &amp; Common Data'!A54</f>
        <v>Copper concentrate &lt;XX g/t Au</v>
      </c>
      <c r="B234" s="247" t="str">
        <f>'Expected NPV &amp; Common Data'!B54</f>
        <v>g/t Au</v>
      </c>
      <c r="C234" s="247"/>
      <c r="D234" s="248">
        <f>'Expected NPV &amp; Common Data'!D54</f>
        <v>1</v>
      </c>
      <c r="E234" s="248">
        <f>'Expected NPV &amp; Common Data'!E54</f>
        <v>1</v>
      </c>
      <c r="F234" s="248">
        <f>'Expected NPV &amp; Common Data'!F54</f>
        <v>1</v>
      </c>
      <c r="G234" s="248">
        <f>'Expected NPV &amp; Common Data'!G54</f>
        <v>1</v>
      </c>
      <c r="H234" s="248">
        <f>'Expected NPV &amp; Common Data'!H54</f>
        <v>1</v>
      </c>
      <c r="I234" s="248">
        <f>'Expected NPV &amp; Common Data'!I54</f>
        <v>1</v>
      </c>
      <c r="J234" s="248">
        <f>'Expected NPV &amp; Common Data'!J54</f>
        <v>1</v>
      </c>
      <c r="K234" s="248">
        <f>'Expected NPV &amp; Common Data'!K54</f>
        <v>1</v>
      </c>
      <c r="L234" s="248">
        <f>'Expected NPV &amp; Common Data'!L54</f>
        <v>1</v>
      </c>
      <c r="M234" s="248">
        <f>'Expected NPV &amp; Common Data'!M54</f>
        <v>1</v>
      </c>
      <c r="N234" s="248">
        <f>'Expected NPV &amp; Common Data'!N54</f>
        <v>1</v>
      </c>
      <c r="O234" s="248">
        <f>'Expected NPV &amp; Common Data'!O54</f>
        <v>1</v>
      </c>
      <c r="P234" s="248">
        <f>'Expected NPV &amp; Common Data'!P54</f>
        <v>1</v>
      </c>
      <c r="Q234" s="248">
        <f>'Expected NPV &amp; Common Data'!Q54</f>
        <v>1</v>
      </c>
      <c r="R234" s="248">
        <f>'Expected NPV &amp; Common Data'!R54</f>
        <v>1</v>
      </c>
      <c r="S234" s="248">
        <f>'Expected NPV &amp; Common Data'!S54</f>
        <v>1</v>
      </c>
      <c r="T234" s="248">
        <f>'Expected NPV &amp; Common Data'!T54</f>
        <v>1</v>
      </c>
      <c r="U234" s="248">
        <f>'Expected NPV &amp; Common Data'!U54</f>
        <v>1</v>
      </c>
      <c r="V234" s="248">
        <f>'Expected NPV &amp; Common Data'!V54</f>
        <v>1</v>
      </c>
      <c r="W234" s="248">
        <f>'Expected NPV &amp; Common Data'!W54</f>
        <v>1</v>
      </c>
      <c r="X234" s="248">
        <f>'Expected NPV &amp; Common Data'!X54</f>
        <v>1</v>
      </c>
      <c r="Y234" s="248">
        <f>'Expected NPV &amp; Common Data'!Y54</f>
        <v>1</v>
      </c>
      <c r="Z234" s="248">
        <f>'Expected NPV &amp; Common Data'!Z54</f>
        <v>1</v>
      </c>
      <c r="AA234" s="248">
        <f>'Expected NPV &amp; Common Data'!AA54</f>
        <v>1</v>
      </c>
      <c r="AB234" s="248">
        <f>'Expected NPV &amp; Common Data'!AB54</f>
        <v>1</v>
      </c>
      <c r="AC234" s="248">
        <f>'Expected NPV &amp; Common Data'!AC54</f>
        <v>1</v>
      </c>
      <c r="AD234" s="248">
        <f>'Expected NPV &amp; Common Data'!AD54</f>
        <v>1</v>
      </c>
    </row>
    <row r="235" spans="1:30" outlineLevel="1">
      <c r="A235" s="247" t="str">
        <f>'Expected NPV &amp; Common Data'!A55</f>
        <v>gold deduction</v>
      </c>
      <c r="B235" s="247" t="str">
        <f>'Expected NPV &amp; Common Data'!B55</f>
        <v>% of Au total content</v>
      </c>
      <c r="C235" s="247"/>
      <c r="D235" s="262">
        <f>'Expected NPV &amp; Common Data'!D55</f>
        <v>0.1</v>
      </c>
      <c r="E235" s="262">
        <f>'Expected NPV &amp; Common Data'!E55</f>
        <v>0.1</v>
      </c>
      <c r="F235" s="262">
        <f>'Expected NPV &amp; Common Data'!F55</f>
        <v>0.1</v>
      </c>
      <c r="G235" s="262">
        <f>'Expected NPV &amp; Common Data'!G55</f>
        <v>0.1</v>
      </c>
      <c r="H235" s="262">
        <f>'Expected NPV &amp; Common Data'!H55</f>
        <v>0.1</v>
      </c>
      <c r="I235" s="262">
        <f>'Expected NPV &amp; Common Data'!I55</f>
        <v>0.1</v>
      </c>
      <c r="J235" s="262">
        <f>'Expected NPV &amp; Common Data'!J55</f>
        <v>0.1</v>
      </c>
      <c r="K235" s="262">
        <f>'Expected NPV &amp; Common Data'!K55</f>
        <v>0.1</v>
      </c>
      <c r="L235" s="262">
        <f>'Expected NPV &amp; Common Data'!L55</f>
        <v>0.1</v>
      </c>
      <c r="M235" s="262">
        <f>'Expected NPV &amp; Common Data'!M55</f>
        <v>0.1</v>
      </c>
      <c r="N235" s="262">
        <f>'Expected NPV &amp; Common Data'!N55</f>
        <v>0.1</v>
      </c>
      <c r="O235" s="262">
        <f>'Expected NPV &amp; Common Data'!O55</f>
        <v>0.1</v>
      </c>
      <c r="P235" s="262">
        <f>'Expected NPV &amp; Common Data'!P55</f>
        <v>0.1</v>
      </c>
      <c r="Q235" s="262">
        <f>'Expected NPV &amp; Common Data'!Q55</f>
        <v>0.1</v>
      </c>
      <c r="R235" s="262">
        <f>'Expected NPV &amp; Common Data'!R55</f>
        <v>0.1</v>
      </c>
      <c r="S235" s="262">
        <f>'Expected NPV &amp; Common Data'!S55</f>
        <v>0.1</v>
      </c>
      <c r="T235" s="262">
        <f>'Expected NPV &amp; Common Data'!T55</f>
        <v>0.1</v>
      </c>
      <c r="U235" s="262">
        <f>'Expected NPV &amp; Common Data'!U55</f>
        <v>0.1</v>
      </c>
      <c r="V235" s="262">
        <f>'Expected NPV &amp; Common Data'!V55</f>
        <v>0.1</v>
      </c>
      <c r="W235" s="262">
        <f>'Expected NPV &amp; Common Data'!W55</f>
        <v>0.1</v>
      </c>
      <c r="X235" s="262">
        <f>'Expected NPV &amp; Common Data'!X55</f>
        <v>0.1</v>
      </c>
      <c r="Y235" s="262">
        <f>'Expected NPV &amp; Common Data'!Y55</f>
        <v>0.1</v>
      </c>
      <c r="Z235" s="262">
        <f>'Expected NPV &amp; Common Data'!Z55</f>
        <v>0.1</v>
      </c>
      <c r="AA235" s="262">
        <f>'Expected NPV &amp; Common Data'!AA55</f>
        <v>0.1</v>
      </c>
      <c r="AB235" s="262">
        <f>'Expected NPV &amp; Common Data'!AB55</f>
        <v>0.1</v>
      </c>
      <c r="AC235" s="262">
        <f>'Expected NPV &amp; Common Data'!AC55</f>
        <v>0.1</v>
      </c>
      <c r="AD235" s="262">
        <f>'Expected NPV &amp; Common Data'!AD55</f>
        <v>0.1</v>
      </c>
    </row>
    <row r="236" spans="1:30" outlineLevel="1">
      <c r="A236" s="247" t="str">
        <f>'Expected NPV &amp; Common Data'!A56</f>
        <v>Copper concentrate &lt;XX g/t Au</v>
      </c>
      <c r="B236" s="247" t="str">
        <f>'Expected NPV &amp; Common Data'!B56</f>
        <v>g/t Au</v>
      </c>
      <c r="C236" s="247"/>
      <c r="D236" s="248">
        <f>'Expected NPV &amp; Common Data'!D56</f>
        <v>3</v>
      </c>
      <c r="E236" s="248">
        <f>'Expected NPV &amp; Common Data'!E56</f>
        <v>3</v>
      </c>
      <c r="F236" s="248">
        <f>'Expected NPV &amp; Common Data'!F56</f>
        <v>3</v>
      </c>
      <c r="G236" s="248">
        <f>'Expected NPV &amp; Common Data'!G56</f>
        <v>3</v>
      </c>
      <c r="H236" s="248">
        <f>'Expected NPV &amp; Common Data'!H56</f>
        <v>3</v>
      </c>
      <c r="I236" s="248">
        <f>'Expected NPV &amp; Common Data'!I56</f>
        <v>3</v>
      </c>
      <c r="J236" s="248">
        <f>'Expected NPV &amp; Common Data'!J56</f>
        <v>3</v>
      </c>
      <c r="K236" s="248">
        <f>'Expected NPV &amp; Common Data'!K56</f>
        <v>3</v>
      </c>
      <c r="L236" s="248">
        <f>'Expected NPV &amp; Common Data'!L56</f>
        <v>3</v>
      </c>
      <c r="M236" s="248">
        <f>'Expected NPV &amp; Common Data'!M56</f>
        <v>3</v>
      </c>
      <c r="N236" s="248">
        <f>'Expected NPV &amp; Common Data'!N56</f>
        <v>3</v>
      </c>
      <c r="O236" s="248">
        <f>'Expected NPV &amp; Common Data'!O56</f>
        <v>3</v>
      </c>
      <c r="P236" s="248">
        <f>'Expected NPV &amp; Common Data'!P56</f>
        <v>3</v>
      </c>
      <c r="Q236" s="248">
        <f>'Expected NPV &amp; Common Data'!Q56</f>
        <v>3</v>
      </c>
      <c r="R236" s="248">
        <f>'Expected NPV &amp; Common Data'!R56</f>
        <v>3</v>
      </c>
      <c r="S236" s="248">
        <f>'Expected NPV &amp; Common Data'!S56</f>
        <v>3</v>
      </c>
      <c r="T236" s="248">
        <f>'Expected NPV &amp; Common Data'!T56</f>
        <v>3</v>
      </c>
      <c r="U236" s="248">
        <f>'Expected NPV &amp; Common Data'!U56</f>
        <v>3</v>
      </c>
      <c r="V236" s="248">
        <f>'Expected NPV &amp; Common Data'!V56</f>
        <v>3</v>
      </c>
      <c r="W236" s="248">
        <f>'Expected NPV &amp; Common Data'!W56</f>
        <v>3</v>
      </c>
      <c r="X236" s="248">
        <f>'Expected NPV &amp; Common Data'!X56</f>
        <v>3</v>
      </c>
      <c r="Y236" s="248">
        <f>'Expected NPV &amp; Common Data'!Y56</f>
        <v>3</v>
      </c>
      <c r="Z236" s="248">
        <f>'Expected NPV &amp; Common Data'!Z56</f>
        <v>3</v>
      </c>
      <c r="AA236" s="248">
        <f>'Expected NPV &amp; Common Data'!AA56</f>
        <v>3</v>
      </c>
      <c r="AB236" s="248">
        <f>'Expected NPV &amp; Common Data'!AB56</f>
        <v>3</v>
      </c>
      <c r="AC236" s="248">
        <f>'Expected NPV &amp; Common Data'!AC56</f>
        <v>3</v>
      </c>
      <c r="AD236" s="248">
        <f>'Expected NPV &amp; Common Data'!AD56</f>
        <v>3</v>
      </c>
    </row>
    <row r="237" spans="1:30" outlineLevel="1">
      <c r="A237" s="247" t="str">
        <f>'Expected NPV &amp; Common Data'!A57</f>
        <v>gold deduction</v>
      </c>
      <c r="B237" s="247" t="str">
        <f>'Expected NPV &amp; Common Data'!B57</f>
        <v>% of Au total content</v>
      </c>
      <c r="C237" s="247"/>
      <c r="D237" s="262">
        <f>'Expected NPV &amp; Common Data'!D57</f>
        <v>0.08</v>
      </c>
      <c r="E237" s="262">
        <f>'Expected NPV &amp; Common Data'!E57</f>
        <v>0.08</v>
      </c>
      <c r="F237" s="262">
        <f>'Expected NPV &amp; Common Data'!F57</f>
        <v>0.08</v>
      </c>
      <c r="G237" s="262">
        <f>'Expected NPV &amp; Common Data'!G57</f>
        <v>0.08</v>
      </c>
      <c r="H237" s="262">
        <f>'Expected NPV &amp; Common Data'!H57</f>
        <v>0.08</v>
      </c>
      <c r="I237" s="262">
        <f>'Expected NPV &amp; Common Data'!I57</f>
        <v>0.08</v>
      </c>
      <c r="J237" s="262">
        <f>'Expected NPV &amp; Common Data'!J57</f>
        <v>0.08</v>
      </c>
      <c r="K237" s="262">
        <f>'Expected NPV &amp; Common Data'!K57</f>
        <v>0.08</v>
      </c>
      <c r="L237" s="262">
        <f>'Expected NPV &amp; Common Data'!L57</f>
        <v>0.08</v>
      </c>
      <c r="M237" s="262">
        <f>'Expected NPV &amp; Common Data'!M57</f>
        <v>0.08</v>
      </c>
      <c r="N237" s="262">
        <f>'Expected NPV &amp; Common Data'!N57</f>
        <v>0.08</v>
      </c>
      <c r="O237" s="262">
        <f>'Expected NPV &amp; Common Data'!O57</f>
        <v>0.08</v>
      </c>
      <c r="P237" s="262">
        <f>'Expected NPV &amp; Common Data'!P57</f>
        <v>0.08</v>
      </c>
      <c r="Q237" s="262">
        <f>'Expected NPV &amp; Common Data'!Q57</f>
        <v>0.08</v>
      </c>
      <c r="R237" s="262">
        <f>'Expected NPV &amp; Common Data'!R57</f>
        <v>0.08</v>
      </c>
      <c r="S237" s="262">
        <f>'Expected NPV &amp; Common Data'!S57</f>
        <v>0.08</v>
      </c>
      <c r="T237" s="262">
        <f>'Expected NPV &amp; Common Data'!T57</f>
        <v>0.08</v>
      </c>
      <c r="U237" s="262">
        <f>'Expected NPV &amp; Common Data'!U57</f>
        <v>0.08</v>
      </c>
      <c r="V237" s="262">
        <f>'Expected NPV &amp; Common Data'!V57</f>
        <v>0.08</v>
      </c>
      <c r="W237" s="262">
        <f>'Expected NPV &amp; Common Data'!W57</f>
        <v>0.08</v>
      </c>
      <c r="X237" s="262">
        <f>'Expected NPV &amp; Common Data'!X57</f>
        <v>0.08</v>
      </c>
      <c r="Y237" s="262">
        <f>'Expected NPV &amp; Common Data'!Y57</f>
        <v>0.08</v>
      </c>
      <c r="Z237" s="262">
        <f>'Expected NPV &amp; Common Data'!Z57</f>
        <v>0.08</v>
      </c>
      <c r="AA237" s="262">
        <f>'Expected NPV &amp; Common Data'!AA57</f>
        <v>0.08</v>
      </c>
      <c r="AB237" s="262">
        <f>'Expected NPV &amp; Common Data'!AB57</f>
        <v>0.08</v>
      </c>
      <c r="AC237" s="262">
        <f>'Expected NPV &amp; Common Data'!AC57</f>
        <v>0.08</v>
      </c>
      <c r="AD237" s="262">
        <f>'Expected NPV &amp; Common Data'!AD57</f>
        <v>0.08</v>
      </c>
    </row>
    <row r="238" spans="1:30" outlineLevel="1">
      <c r="A238" s="247" t="str">
        <f>'Expected NPV &amp; Common Data'!A58</f>
        <v>Copper concentrate &lt;XX g/t Au</v>
      </c>
      <c r="B238" s="247" t="str">
        <f>'Expected NPV &amp; Common Data'!B58</f>
        <v>g/t Au</v>
      </c>
      <c r="C238" s="247"/>
      <c r="D238" s="248">
        <f>'Expected NPV &amp; Common Data'!D58</f>
        <v>5</v>
      </c>
      <c r="E238" s="248">
        <f>'Expected NPV &amp; Common Data'!E58</f>
        <v>5</v>
      </c>
      <c r="F238" s="248">
        <f>'Expected NPV &amp; Common Data'!F58</f>
        <v>5</v>
      </c>
      <c r="G238" s="248">
        <f>'Expected NPV &amp; Common Data'!G58</f>
        <v>5</v>
      </c>
      <c r="H238" s="248">
        <f>'Expected NPV &amp; Common Data'!H58</f>
        <v>5</v>
      </c>
      <c r="I238" s="248">
        <f>'Expected NPV &amp; Common Data'!I58</f>
        <v>5</v>
      </c>
      <c r="J238" s="248">
        <f>'Expected NPV &amp; Common Data'!J58</f>
        <v>5</v>
      </c>
      <c r="K238" s="248">
        <f>'Expected NPV &amp; Common Data'!K58</f>
        <v>5</v>
      </c>
      <c r="L238" s="248">
        <f>'Expected NPV &amp; Common Data'!L58</f>
        <v>5</v>
      </c>
      <c r="M238" s="248">
        <f>'Expected NPV &amp; Common Data'!M58</f>
        <v>5</v>
      </c>
      <c r="N238" s="248">
        <f>'Expected NPV &amp; Common Data'!N58</f>
        <v>5</v>
      </c>
      <c r="O238" s="248">
        <f>'Expected NPV &amp; Common Data'!O58</f>
        <v>5</v>
      </c>
      <c r="P238" s="248">
        <f>'Expected NPV &amp; Common Data'!P58</f>
        <v>5</v>
      </c>
      <c r="Q238" s="248">
        <f>'Expected NPV &amp; Common Data'!Q58</f>
        <v>5</v>
      </c>
      <c r="R238" s="248">
        <f>'Expected NPV &amp; Common Data'!R58</f>
        <v>5</v>
      </c>
      <c r="S238" s="248">
        <f>'Expected NPV &amp; Common Data'!S58</f>
        <v>5</v>
      </c>
      <c r="T238" s="248">
        <f>'Expected NPV &amp; Common Data'!T58</f>
        <v>5</v>
      </c>
      <c r="U238" s="248">
        <f>'Expected NPV &amp; Common Data'!U58</f>
        <v>5</v>
      </c>
      <c r="V238" s="248">
        <f>'Expected NPV &amp; Common Data'!V58</f>
        <v>5</v>
      </c>
      <c r="W238" s="248">
        <f>'Expected NPV &amp; Common Data'!W58</f>
        <v>5</v>
      </c>
      <c r="X238" s="248">
        <f>'Expected NPV &amp; Common Data'!X58</f>
        <v>5</v>
      </c>
      <c r="Y238" s="248">
        <f>'Expected NPV &amp; Common Data'!Y58</f>
        <v>5</v>
      </c>
      <c r="Z238" s="248">
        <f>'Expected NPV &amp; Common Data'!Z58</f>
        <v>5</v>
      </c>
      <c r="AA238" s="248">
        <f>'Expected NPV &amp; Common Data'!AA58</f>
        <v>5</v>
      </c>
      <c r="AB238" s="248">
        <f>'Expected NPV &amp; Common Data'!AB58</f>
        <v>5</v>
      </c>
      <c r="AC238" s="248">
        <f>'Expected NPV &amp; Common Data'!AC58</f>
        <v>5</v>
      </c>
      <c r="AD238" s="248">
        <f>'Expected NPV &amp; Common Data'!AD58</f>
        <v>5</v>
      </c>
    </row>
    <row r="239" spans="1:30" outlineLevel="1">
      <c r="A239" s="247" t="str">
        <f>'Expected NPV &amp; Common Data'!A59</f>
        <v>gold deduction</v>
      </c>
      <c r="B239" s="247" t="str">
        <f>'Expected NPV &amp; Common Data'!B59</f>
        <v>% of Au total content</v>
      </c>
      <c r="C239" s="247"/>
      <c r="D239" s="262">
        <f>'Expected NPV &amp; Common Data'!D59</f>
        <v>0.05</v>
      </c>
      <c r="E239" s="262">
        <f>'Expected NPV &amp; Common Data'!E59</f>
        <v>0.05</v>
      </c>
      <c r="F239" s="262">
        <f>'Expected NPV &amp; Common Data'!F59</f>
        <v>0.05</v>
      </c>
      <c r="G239" s="262">
        <f>'Expected NPV &amp; Common Data'!G59</f>
        <v>0.05</v>
      </c>
      <c r="H239" s="262">
        <f>'Expected NPV &amp; Common Data'!H59</f>
        <v>0.05</v>
      </c>
      <c r="I239" s="262">
        <f>'Expected NPV &amp; Common Data'!I59</f>
        <v>0.05</v>
      </c>
      <c r="J239" s="262">
        <f>'Expected NPV &amp; Common Data'!J59</f>
        <v>0.05</v>
      </c>
      <c r="K239" s="262">
        <f>'Expected NPV &amp; Common Data'!K59</f>
        <v>0.05</v>
      </c>
      <c r="L239" s="262">
        <f>'Expected NPV &amp; Common Data'!L59</f>
        <v>0.05</v>
      </c>
      <c r="M239" s="262">
        <f>'Expected NPV &amp; Common Data'!M59</f>
        <v>0.05</v>
      </c>
      <c r="N239" s="262">
        <f>'Expected NPV &amp; Common Data'!N59</f>
        <v>0.05</v>
      </c>
      <c r="O239" s="262">
        <f>'Expected NPV &amp; Common Data'!O59</f>
        <v>0.05</v>
      </c>
      <c r="P239" s="262">
        <f>'Expected NPV &amp; Common Data'!P59</f>
        <v>0.05</v>
      </c>
      <c r="Q239" s="262">
        <f>'Expected NPV &amp; Common Data'!Q59</f>
        <v>0.05</v>
      </c>
      <c r="R239" s="262">
        <f>'Expected NPV &amp; Common Data'!R59</f>
        <v>0.05</v>
      </c>
      <c r="S239" s="262">
        <f>'Expected NPV &amp; Common Data'!S59</f>
        <v>0.05</v>
      </c>
      <c r="T239" s="262">
        <f>'Expected NPV &amp; Common Data'!T59</f>
        <v>0.05</v>
      </c>
      <c r="U239" s="262">
        <f>'Expected NPV &amp; Common Data'!U59</f>
        <v>0.05</v>
      </c>
      <c r="V239" s="262">
        <f>'Expected NPV &amp; Common Data'!V59</f>
        <v>0.05</v>
      </c>
      <c r="W239" s="262">
        <f>'Expected NPV &amp; Common Data'!W59</f>
        <v>0.05</v>
      </c>
      <c r="X239" s="262">
        <f>'Expected NPV &amp; Common Data'!X59</f>
        <v>0.05</v>
      </c>
      <c r="Y239" s="262">
        <f>'Expected NPV &amp; Common Data'!Y59</f>
        <v>0.05</v>
      </c>
      <c r="Z239" s="262">
        <f>'Expected NPV &amp; Common Data'!Z59</f>
        <v>0.05</v>
      </c>
      <c r="AA239" s="262">
        <f>'Expected NPV &amp; Common Data'!AA59</f>
        <v>0.05</v>
      </c>
      <c r="AB239" s="262">
        <f>'Expected NPV &amp; Common Data'!AB59</f>
        <v>0.05</v>
      </c>
      <c r="AC239" s="262">
        <f>'Expected NPV &amp; Common Data'!AC59</f>
        <v>0.05</v>
      </c>
      <c r="AD239" s="262">
        <f>'Expected NPV &amp; Common Data'!AD59</f>
        <v>0.05</v>
      </c>
    </row>
    <row r="240" spans="1:30" outlineLevel="1">
      <c r="A240" s="247" t="str">
        <f>'Expected NPV &amp; Common Data'!A60</f>
        <v>Copper concentrate &lt;XX g/t Au</v>
      </c>
      <c r="B240" s="247" t="str">
        <f>'Expected NPV &amp; Common Data'!B60</f>
        <v>g/t Au</v>
      </c>
      <c r="C240" s="247"/>
      <c r="D240" s="248">
        <f>'Expected NPV &amp; Common Data'!D60</f>
        <v>10</v>
      </c>
      <c r="E240" s="248">
        <f>'Expected NPV &amp; Common Data'!E60</f>
        <v>10</v>
      </c>
      <c r="F240" s="248">
        <f>'Expected NPV &amp; Common Data'!F60</f>
        <v>10</v>
      </c>
      <c r="G240" s="248">
        <f>'Expected NPV &amp; Common Data'!G60</f>
        <v>10</v>
      </c>
      <c r="H240" s="248">
        <f>'Expected NPV &amp; Common Data'!H60</f>
        <v>10</v>
      </c>
      <c r="I240" s="248">
        <f>'Expected NPV &amp; Common Data'!I60</f>
        <v>10</v>
      </c>
      <c r="J240" s="248">
        <f>'Expected NPV &amp; Common Data'!J60</f>
        <v>10</v>
      </c>
      <c r="K240" s="248">
        <f>'Expected NPV &amp; Common Data'!K60</f>
        <v>10</v>
      </c>
      <c r="L240" s="248">
        <f>'Expected NPV &amp; Common Data'!L60</f>
        <v>10</v>
      </c>
      <c r="M240" s="248">
        <f>'Expected NPV &amp; Common Data'!M60</f>
        <v>10</v>
      </c>
      <c r="N240" s="248">
        <f>'Expected NPV &amp; Common Data'!N60</f>
        <v>10</v>
      </c>
      <c r="O240" s="248">
        <f>'Expected NPV &amp; Common Data'!O60</f>
        <v>10</v>
      </c>
      <c r="P240" s="248">
        <f>'Expected NPV &amp; Common Data'!P60</f>
        <v>10</v>
      </c>
      <c r="Q240" s="248">
        <f>'Expected NPV &amp; Common Data'!Q60</f>
        <v>10</v>
      </c>
      <c r="R240" s="248">
        <f>'Expected NPV &amp; Common Data'!R60</f>
        <v>10</v>
      </c>
      <c r="S240" s="248">
        <f>'Expected NPV &amp; Common Data'!S60</f>
        <v>10</v>
      </c>
      <c r="T240" s="248">
        <f>'Expected NPV &amp; Common Data'!T60</f>
        <v>10</v>
      </c>
      <c r="U240" s="248">
        <f>'Expected NPV &amp; Common Data'!U60</f>
        <v>10</v>
      </c>
      <c r="V240" s="248">
        <f>'Expected NPV &amp; Common Data'!V60</f>
        <v>10</v>
      </c>
      <c r="W240" s="248">
        <f>'Expected NPV &amp; Common Data'!W60</f>
        <v>10</v>
      </c>
      <c r="X240" s="248">
        <f>'Expected NPV &amp; Common Data'!X60</f>
        <v>10</v>
      </c>
      <c r="Y240" s="248">
        <f>'Expected NPV &amp; Common Data'!Y60</f>
        <v>10</v>
      </c>
      <c r="Z240" s="248">
        <f>'Expected NPV &amp; Common Data'!Z60</f>
        <v>10</v>
      </c>
      <c r="AA240" s="248">
        <f>'Expected NPV &amp; Common Data'!AA60</f>
        <v>10</v>
      </c>
      <c r="AB240" s="248">
        <f>'Expected NPV &amp; Common Data'!AB60</f>
        <v>10</v>
      </c>
      <c r="AC240" s="248">
        <f>'Expected NPV &amp; Common Data'!AC60</f>
        <v>10</v>
      </c>
      <c r="AD240" s="248">
        <f>'Expected NPV &amp; Common Data'!AD60</f>
        <v>10</v>
      </c>
    </row>
    <row r="241" spans="1:30" outlineLevel="1">
      <c r="A241" s="247" t="str">
        <f>'Expected NPV &amp; Common Data'!A61</f>
        <v>gold deduction</v>
      </c>
      <c r="B241" s="247" t="str">
        <f>'Expected NPV &amp; Common Data'!B61</f>
        <v>% of Au total content</v>
      </c>
      <c r="C241" s="247"/>
      <c r="D241" s="262">
        <f>'Expected NPV &amp; Common Data'!D61</f>
        <v>0.03</v>
      </c>
      <c r="E241" s="262">
        <f>'Expected NPV &amp; Common Data'!E61</f>
        <v>0.03</v>
      </c>
      <c r="F241" s="262">
        <f>'Expected NPV &amp; Common Data'!F61</f>
        <v>0.03</v>
      </c>
      <c r="G241" s="262">
        <f>'Expected NPV &amp; Common Data'!G61</f>
        <v>0.03</v>
      </c>
      <c r="H241" s="262">
        <f>'Expected NPV &amp; Common Data'!H61</f>
        <v>0.03</v>
      </c>
      <c r="I241" s="262">
        <f>'Expected NPV &amp; Common Data'!I61</f>
        <v>0.03</v>
      </c>
      <c r="J241" s="262">
        <f>'Expected NPV &amp; Common Data'!J61</f>
        <v>0.03</v>
      </c>
      <c r="K241" s="262">
        <f>'Expected NPV &amp; Common Data'!K61</f>
        <v>0.03</v>
      </c>
      <c r="L241" s="262">
        <f>'Expected NPV &amp; Common Data'!L61</f>
        <v>0.03</v>
      </c>
      <c r="M241" s="262">
        <f>'Expected NPV &amp; Common Data'!M61</f>
        <v>0.03</v>
      </c>
      <c r="N241" s="262">
        <f>'Expected NPV &amp; Common Data'!N61</f>
        <v>0.03</v>
      </c>
      <c r="O241" s="262">
        <f>'Expected NPV &amp; Common Data'!O61</f>
        <v>0.03</v>
      </c>
      <c r="P241" s="262">
        <f>'Expected NPV &amp; Common Data'!P61</f>
        <v>0.03</v>
      </c>
      <c r="Q241" s="262">
        <f>'Expected NPV &amp; Common Data'!Q61</f>
        <v>0.03</v>
      </c>
      <c r="R241" s="262">
        <f>'Expected NPV &amp; Common Data'!R61</f>
        <v>0.03</v>
      </c>
      <c r="S241" s="262">
        <f>'Expected NPV &amp; Common Data'!S61</f>
        <v>0.03</v>
      </c>
      <c r="T241" s="262">
        <f>'Expected NPV &amp; Common Data'!T61</f>
        <v>0.03</v>
      </c>
      <c r="U241" s="262">
        <f>'Expected NPV &amp; Common Data'!U61</f>
        <v>0.03</v>
      </c>
      <c r="V241" s="262">
        <f>'Expected NPV &amp; Common Data'!V61</f>
        <v>0.03</v>
      </c>
      <c r="W241" s="262">
        <f>'Expected NPV &amp; Common Data'!W61</f>
        <v>0.03</v>
      </c>
      <c r="X241" s="262">
        <f>'Expected NPV &amp; Common Data'!X61</f>
        <v>0.03</v>
      </c>
      <c r="Y241" s="262">
        <f>'Expected NPV &amp; Common Data'!Y61</f>
        <v>0.03</v>
      </c>
      <c r="Z241" s="262">
        <f>'Expected NPV &amp; Common Data'!Z61</f>
        <v>0.03</v>
      </c>
      <c r="AA241" s="262">
        <f>'Expected NPV &amp; Common Data'!AA61</f>
        <v>0.03</v>
      </c>
      <c r="AB241" s="262">
        <f>'Expected NPV &amp; Common Data'!AB61</f>
        <v>0.03</v>
      </c>
      <c r="AC241" s="262">
        <f>'Expected NPV &amp; Common Data'!AC61</f>
        <v>0.03</v>
      </c>
      <c r="AD241" s="262">
        <f>'Expected NPV &amp; Common Data'!AD61</f>
        <v>0.03</v>
      </c>
    </row>
    <row r="242" spans="1:30" outlineLevel="1">
      <c r="A242" s="247" t="str">
        <f>'Expected NPV &amp; Common Data'!A62</f>
        <v>Copper concentrate &lt;XX g/t Au</v>
      </c>
      <c r="B242" s="247" t="str">
        <f>'Expected NPV &amp; Common Data'!B62</f>
        <v>g/t Au</v>
      </c>
      <c r="C242" s="247"/>
      <c r="D242" s="248">
        <f>'Expected NPV &amp; Common Data'!D62</f>
        <v>20</v>
      </c>
      <c r="E242" s="248">
        <f>'Expected NPV &amp; Common Data'!E62</f>
        <v>20</v>
      </c>
      <c r="F242" s="248">
        <f>'Expected NPV &amp; Common Data'!F62</f>
        <v>20</v>
      </c>
      <c r="G242" s="248">
        <f>'Expected NPV &amp; Common Data'!G62</f>
        <v>20</v>
      </c>
      <c r="H242" s="248">
        <f>'Expected NPV &amp; Common Data'!H62</f>
        <v>20</v>
      </c>
      <c r="I242" s="248">
        <f>'Expected NPV &amp; Common Data'!I62</f>
        <v>20</v>
      </c>
      <c r="J242" s="248">
        <f>'Expected NPV &amp; Common Data'!J62</f>
        <v>20</v>
      </c>
      <c r="K242" s="248">
        <f>'Expected NPV &amp; Common Data'!K62</f>
        <v>20</v>
      </c>
      <c r="L242" s="248">
        <f>'Expected NPV &amp; Common Data'!L62</f>
        <v>20</v>
      </c>
      <c r="M242" s="248">
        <f>'Expected NPV &amp; Common Data'!M62</f>
        <v>20</v>
      </c>
      <c r="N242" s="248">
        <f>'Expected NPV &amp; Common Data'!N62</f>
        <v>20</v>
      </c>
      <c r="O242" s="248">
        <f>'Expected NPV &amp; Common Data'!O62</f>
        <v>20</v>
      </c>
      <c r="P242" s="248">
        <f>'Expected NPV &amp; Common Data'!P62</f>
        <v>20</v>
      </c>
      <c r="Q242" s="248">
        <f>'Expected NPV &amp; Common Data'!Q62</f>
        <v>20</v>
      </c>
      <c r="R242" s="248">
        <f>'Expected NPV &amp; Common Data'!R62</f>
        <v>20</v>
      </c>
      <c r="S242" s="248">
        <f>'Expected NPV &amp; Common Data'!S62</f>
        <v>20</v>
      </c>
      <c r="T242" s="248">
        <f>'Expected NPV &amp; Common Data'!T62</f>
        <v>20</v>
      </c>
      <c r="U242" s="248">
        <f>'Expected NPV &amp; Common Data'!U62</f>
        <v>20</v>
      </c>
      <c r="V242" s="248">
        <f>'Expected NPV &amp; Common Data'!V62</f>
        <v>20</v>
      </c>
      <c r="W242" s="248">
        <f>'Expected NPV &amp; Common Data'!W62</f>
        <v>20</v>
      </c>
      <c r="X242" s="248">
        <f>'Expected NPV &amp; Common Data'!X62</f>
        <v>20</v>
      </c>
      <c r="Y242" s="248">
        <f>'Expected NPV &amp; Common Data'!Y62</f>
        <v>20</v>
      </c>
      <c r="Z242" s="248">
        <f>'Expected NPV &amp; Common Data'!Z62</f>
        <v>20</v>
      </c>
      <c r="AA242" s="248">
        <f>'Expected NPV &amp; Common Data'!AA62</f>
        <v>20</v>
      </c>
      <c r="AB242" s="248">
        <f>'Expected NPV &amp; Common Data'!AB62</f>
        <v>20</v>
      </c>
      <c r="AC242" s="248">
        <f>'Expected NPV &amp; Common Data'!AC62</f>
        <v>20</v>
      </c>
      <c r="AD242" s="248">
        <f>'Expected NPV &amp; Common Data'!AD62</f>
        <v>20</v>
      </c>
    </row>
    <row r="243" spans="1:30" outlineLevel="1">
      <c r="A243" s="247" t="str">
        <f>'Expected NPV &amp; Common Data'!A63</f>
        <v>gold deduction</v>
      </c>
      <c r="B243" s="247" t="str">
        <f>'Expected NPV &amp; Common Data'!B63</f>
        <v>% of Au total content</v>
      </c>
      <c r="C243" s="247"/>
      <c r="D243" s="263">
        <f>'Expected NPV &amp; Common Data'!D63</f>
        <v>2.5000000000000001E-2</v>
      </c>
      <c r="E243" s="263">
        <f>'Expected NPV &amp; Common Data'!E63</f>
        <v>2.5000000000000001E-2</v>
      </c>
      <c r="F243" s="263">
        <f>'Expected NPV &amp; Common Data'!F63</f>
        <v>2.5000000000000001E-2</v>
      </c>
      <c r="G243" s="263">
        <f>'Expected NPV &amp; Common Data'!G63</f>
        <v>2.5000000000000001E-2</v>
      </c>
      <c r="H243" s="263">
        <f>'Expected NPV &amp; Common Data'!H63</f>
        <v>2.5000000000000001E-2</v>
      </c>
      <c r="I243" s="263">
        <f>'Expected NPV &amp; Common Data'!I63</f>
        <v>2.5000000000000001E-2</v>
      </c>
      <c r="J243" s="263">
        <f>'Expected NPV &amp; Common Data'!J63</f>
        <v>2.5000000000000001E-2</v>
      </c>
      <c r="K243" s="263">
        <f>'Expected NPV &amp; Common Data'!K63</f>
        <v>2.5000000000000001E-2</v>
      </c>
      <c r="L243" s="263">
        <f>'Expected NPV &amp; Common Data'!L63</f>
        <v>2.5000000000000001E-2</v>
      </c>
      <c r="M243" s="263">
        <f>'Expected NPV &amp; Common Data'!M63</f>
        <v>2.5000000000000001E-2</v>
      </c>
      <c r="N243" s="263">
        <f>'Expected NPV &amp; Common Data'!N63</f>
        <v>2.5000000000000001E-2</v>
      </c>
      <c r="O243" s="263">
        <f>'Expected NPV &amp; Common Data'!O63</f>
        <v>2.5000000000000001E-2</v>
      </c>
      <c r="P243" s="263">
        <f>'Expected NPV &amp; Common Data'!P63</f>
        <v>2.5000000000000001E-2</v>
      </c>
      <c r="Q243" s="263">
        <f>'Expected NPV &amp; Common Data'!Q63</f>
        <v>2.5000000000000001E-2</v>
      </c>
      <c r="R243" s="263">
        <f>'Expected NPV &amp; Common Data'!R63</f>
        <v>2.5000000000000001E-2</v>
      </c>
      <c r="S243" s="263">
        <f>'Expected NPV &amp; Common Data'!S63</f>
        <v>2.5000000000000001E-2</v>
      </c>
      <c r="T243" s="263">
        <f>'Expected NPV &amp; Common Data'!T63</f>
        <v>2.5000000000000001E-2</v>
      </c>
      <c r="U243" s="263">
        <f>'Expected NPV &amp; Common Data'!U63</f>
        <v>2.5000000000000001E-2</v>
      </c>
      <c r="V243" s="263">
        <f>'Expected NPV &amp; Common Data'!V63</f>
        <v>2.5000000000000001E-2</v>
      </c>
      <c r="W243" s="263">
        <f>'Expected NPV &amp; Common Data'!W63</f>
        <v>2.5000000000000001E-2</v>
      </c>
      <c r="X243" s="263">
        <f>'Expected NPV &amp; Common Data'!X63</f>
        <v>2.5000000000000001E-2</v>
      </c>
      <c r="Y243" s="263">
        <f>'Expected NPV &amp; Common Data'!Y63</f>
        <v>2.5000000000000001E-2</v>
      </c>
      <c r="Z243" s="263">
        <f>'Expected NPV &amp; Common Data'!Z63</f>
        <v>2.5000000000000001E-2</v>
      </c>
      <c r="AA243" s="263">
        <f>'Expected NPV &amp; Common Data'!AA63</f>
        <v>2.5000000000000001E-2</v>
      </c>
      <c r="AB243" s="263">
        <f>'Expected NPV &amp; Common Data'!AB63</f>
        <v>2.5000000000000001E-2</v>
      </c>
      <c r="AC243" s="263">
        <f>'Expected NPV &amp; Common Data'!AC63</f>
        <v>2.5000000000000001E-2</v>
      </c>
      <c r="AD243" s="263">
        <f>'Expected NPV &amp; Common Data'!AD63</f>
        <v>2.5000000000000001E-2</v>
      </c>
    </row>
    <row r="244" spans="1:30" outlineLevel="1">
      <c r="C244" s="44"/>
      <c r="D244" s="42"/>
      <c r="E244" s="42"/>
      <c r="F244" s="42"/>
      <c r="G244" s="42"/>
      <c r="H244" s="42"/>
      <c r="I244" s="42"/>
      <c r="J244" s="42"/>
      <c r="K244" s="42"/>
      <c r="L244" s="42"/>
      <c r="M244" s="42"/>
      <c r="N244" s="42"/>
      <c r="O244" s="42"/>
      <c r="P244" s="42"/>
      <c r="Q244" s="42"/>
      <c r="R244" s="42"/>
      <c r="S244" s="42"/>
      <c r="T244" s="42"/>
      <c r="U244" s="42"/>
      <c r="V244" s="42"/>
      <c r="W244" s="42"/>
      <c r="X244" s="42"/>
      <c r="Y244" s="42"/>
      <c r="Z244" s="42"/>
      <c r="AA244" s="42"/>
      <c r="AB244" s="42"/>
      <c r="AC244" s="42"/>
      <c r="AD244" s="42"/>
    </row>
    <row r="245" spans="1:30" outlineLevel="1">
      <c r="A245" s="13" t="s">
        <v>57</v>
      </c>
      <c r="B245" s="13" t="s">
        <v>66</v>
      </c>
      <c r="C245" s="38"/>
      <c r="D245" s="51">
        <f t="shared" ref="D245:AD245" si="72">IF(D167&lt;D234,D233,IF(D167&lt;D236,D235,IF(D167&lt;D238,D237,IF(D167&lt;D240,D239,IF(D167&lt;D242,D241,D243)))))</f>
        <v>1</v>
      </c>
      <c r="E245" s="51">
        <f t="shared" si="72"/>
        <v>1</v>
      </c>
      <c r="F245" s="51">
        <f t="shared" si="72"/>
        <v>0.05</v>
      </c>
      <c r="G245" s="51">
        <f t="shared" si="72"/>
        <v>0.05</v>
      </c>
      <c r="H245" s="51">
        <f t="shared" si="72"/>
        <v>0.05</v>
      </c>
      <c r="I245" s="51">
        <f t="shared" si="72"/>
        <v>0.05</v>
      </c>
      <c r="J245" s="51">
        <f t="shared" si="72"/>
        <v>0.05</v>
      </c>
      <c r="K245" s="51">
        <f t="shared" si="72"/>
        <v>0.05</v>
      </c>
      <c r="L245" s="51">
        <f t="shared" si="72"/>
        <v>0.05</v>
      </c>
      <c r="M245" s="51">
        <f t="shared" si="72"/>
        <v>0.05</v>
      </c>
      <c r="N245" s="51">
        <f t="shared" si="72"/>
        <v>0.05</v>
      </c>
      <c r="O245" s="51">
        <f t="shared" si="72"/>
        <v>0.05</v>
      </c>
      <c r="P245" s="51">
        <f t="shared" si="72"/>
        <v>0.05</v>
      </c>
      <c r="Q245" s="51">
        <f t="shared" si="72"/>
        <v>0.05</v>
      </c>
      <c r="R245" s="51">
        <f t="shared" si="72"/>
        <v>0.05</v>
      </c>
      <c r="S245" s="51">
        <f t="shared" si="72"/>
        <v>0.05</v>
      </c>
      <c r="T245" s="51">
        <f t="shared" si="72"/>
        <v>0.05</v>
      </c>
      <c r="U245" s="51">
        <f t="shared" si="72"/>
        <v>1</v>
      </c>
      <c r="V245" s="51">
        <f t="shared" si="72"/>
        <v>1</v>
      </c>
      <c r="W245" s="51">
        <f t="shared" si="72"/>
        <v>1</v>
      </c>
      <c r="X245" s="51">
        <f t="shared" si="72"/>
        <v>1</v>
      </c>
      <c r="Y245" s="51">
        <f t="shared" si="72"/>
        <v>1</v>
      </c>
      <c r="Z245" s="51">
        <f t="shared" si="72"/>
        <v>1</v>
      </c>
      <c r="AA245" s="51">
        <f t="shared" si="72"/>
        <v>1</v>
      </c>
      <c r="AB245" s="51">
        <f t="shared" si="72"/>
        <v>1</v>
      </c>
      <c r="AC245" s="51">
        <f t="shared" si="72"/>
        <v>1</v>
      </c>
      <c r="AD245" s="51">
        <f t="shared" si="72"/>
        <v>1</v>
      </c>
    </row>
    <row r="246" spans="1:30" outlineLevel="1">
      <c r="A246" s="13" t="s">
        <v>58</v>
      </c>
      <c r="B246" s="13" t="s">
        <v>36</v>
      </c>
      <c r="C246" s="44"/>
      <c r="D246" s="56">
        <f t="shared" ref="D246:AD246" si="73">D167*(1-D245)</f>
        <v>0</v>
      </c>
      <c r="E246" s="56">
        <f t="shared" si="73"/>
        <v>0</v>
      </c>
      <c r="F246" s="57">
        <f t="shared" si="73"/>
        <v>5.9053385416666675</v>
      </c>
      <c r="G246" s="56">
        <f t="shared" si="73"/>
        <v>5.9053385416666657</v>
      </c>
      <c r="H246" s="56">
        <f t="shared" si="73"/>
        <v>5.9053385416666657</v>
      </c>
      <c r="I246" s="56">
        <f t="shared" si="73"/>
        <v>5.9053385416666657</v>
      </c>
      <c r="J246" s="56">
        <f t="shared" si="73"/>
        <v>5.9053385416666666</v>
      </c>
      <c r="K246" s="56">
        <f t="shared" si="73"/>
        <v>5.7162291666666665</v>
      </c>
      <c r="L246" s="56">
        <f t="shared" si="73"/>
        <v>5.5218749999999988</v>
      </c>
      <c r="M246" s="56">
        <f t="shared" si="73"/>
        <v>5.5218749999999988</v>
      </c>
      <c r="N246" s="56">
        <f t="shared" si="73"/>
        <v>5.5218749999999988</v>
      </c>
      <c r="O246" s="56">
        <f t="shared" si="73"/>
        <v>5.5218749999999988</v>
      </c>
      <c r="P246" s="56">
        <f t="shared" si="73"/>
        <v>5.5497749999999995</v>
      </c>
      <c r="Q246" s="56">
        <f t="shared" si="73"/>
        <v>5.2708806818181815</v>
      </c>
      <c r="R246" s="56">
        <f t="shared" si="73"/>
        <v>5.2708806818181815</v>
      </c>
      <c r="S246" s="56">
        <f t="shared" si="73"/>
        <v>5.2708806818181815</v>
      </c>
      <c r="T246" s="56">
        <f t="shared" si="73"/>
        <v>5.2708806818181824</v>
      </c>
      <c r="U246" s="56">
        <f t="shared" si="73"/>
        <v>0</v>
      </c>
      <c r="V246" s="56">
        <f t="shared" si="73"/>
        <v>0</v>
      </c>
      <c r="W246" s="56">
        <f t="shared" si="73"/>
        <v>0</v>
      </c>
      <c r="X246" s="56">
        <f t="shared" si="73"/>
        <v>0</v>
      </c>
      <c r="Y246" s="56">
        <f t="shared" si="73"/>
        <v>0</v>
      </c>
      <c r="Z246" s="56">
        <f t="shared" si="73"/>
        <v>0</v>
      </c>
      <c r="AA246" s="56">
        <f t="shared" si="73"/>
        <v>0</v>
      </c>
      <c r="AB246" s="56">
        <f t="shared" si="73"/>
        <v>0</v>
      </c>
      <c r="AC246" s="56">
        <f t="shared" si="73"/>
        <v>0</v>
      </c>
      <c r="AD246" s="56">
        <f t="shared" si="73"/>
        <v>0</v>
      </c>
    </row>
    <row r="247" spans="1:30" outlineLevel="1">
      <c r="A247" s="13" t="str">
        <f>A101</f>
        <v>Gold price forecast - High Case</v>
      </c>
      <c r="B247" s="13" t="str">
        <f>B101</f>
        <v>US$/ oz real</v>
      </c>
      <c r="C247" s="44"/>
      <c r="D247" s="42">
        <f t="shared" ref="D247:AD247" si="74">D101</f>
        <v>2500</v>
      </c>
      <c r="E247" s="42">
        <f t="shared" si="74"/>
        <v>2500</v>
      </c>
      <c r="F247" s="42">
        <f t="shared" si="74"/>
        <v>2500</v>
      </c>
      <c r="G247" s="42">
        <f t="shared" si="74"/>
        <v>2500</v>
      </c>
      <c r="H247" s="42">
        <f t="shared" si="74"/>
        <v>2500</v>
      </c>
      <c r="I247" s="42">
        <f t="shared" si="74"/>
        <v>2500</v>
      </c>
      <c r="J247" s="42">
        <f t="shared" si="74"/>
        <v>2500</v>
      </c>
      <c r="K247" s="42">
        <f t="shared" si="74"/>
        <v>2500</v>
      </c>
      <c r="L247" s="42">
        <f t="shared" si="74"/>
        <v>2500</v>
      </c>
      <c r="M247" s="42">
        <f t="shared" si="74"/>
        <v>2500</v>
      </c>
      <c r="N247" s="42">
        <f t="shared" si="74"/>
        <v>2500</v>
      </c>
      <c r="O247" s="42">
        <f t="shared" si="74"/>
        <v>2500</v>
      </c>
      <c r="P247" s="42">
        <f t="shared" si="74"/>
        <v>2500</v>
      </c>
      <c r="Q247" s="42">
        <f t="shared" si="74"/>
        <v>2500</v>
      </c>
      <c r="R247" s="42">
        <f t="shared" si="74"/>
        <v>2500</v>
      </c>
      <c r="S247" s="42">
        <f t="shared" si="74"/>
        <v>2500</v>
      </c>
      <c r="T247" s="42">
        <f t="shared" si="74"/>
        <v>2500</v>
      </c>
      <c r="U247" s="42">
        <f t="shared" si="74"/>
        <v>2500</v>
      </c>
      <c r="V247" s="42">
        <f t="shared" si="74"/>
        <v>2500</v>
      </c>
      <c r="W247" s="42">
        <f t="shared" si="74"/>
        <v>2500</v>
      </c>
      <c r="X247" s="42">
        <f t="shared" si="74"/>
        <v>2500</v>
      </c>
      <c r="Y247" s="42">
        <f t="shared" si="74"/>
        <v>2500</v>
      </c>
      <c r="Z247" s="42">
        <f t="shared" si="74"/>
        <v>2500</v>
      </c>
      <c r="AA247" s="42">
        <f t="shared" si="74"/>
        <v>2500</v>
      </c>
      <c r="AB247" s="42">
        <f t="shared" si="74"/>
        <v>2500</v>
      </c>
      <c r="AC247" s="42">
        <f t="shared" si="74"/>
        <v>2500</v>
      </c>
      <c r="AD247" s="42">
        <f t="shared" si="74"/>
        <v>2500</v>
      </c>
    </row>
    <row r="248" spans="1:30" s="14" customFormat="1" outlineLevel="1">
      <c r="A248" s="14" t="s">
        <v>213</v>
      </c>
      <c r="B248" s="13" t="s">
        <v>207</v>
      </c>
      <c r="C248" s="92"/>
      <c r="D248" s="55">
        <f t="shared" ref="D248:AD248" si="75">D246/31.1*D247</f>
        <v>0</v>
      </c>
      <c r="E248" s="55">
        <f t="shared" si="75"/>
        <v>0</v>
      </c>
      <c r="F248" s="55">
        <f t="shared" si="75"/>
        <v>474.70567055198291</v>
      </c>
      <c r="G248" s="55">
        <f t="shared" si="75"/>
        <v>474.70567055198273</v>
      </c>
      <c r="H248" s="55">
        <f t="shared" si="75"/>
        <v>474.70567055198273</v>
      </c>
      <c r="I248" s="55">
        <f t="shared" si="75"/>
        <v>474.70567055198273</v>
      </c>
      <c r="J248" s="55">
        <f t="shared" si="75"/>
        <v>474.70567055198279</v>
      </c>
      <c r="K248" s="55">
        <f t="shared" si="75"/>
        <v>459.50395230439437</v>
      </c>
      <c r="L248" s="55">
        <f t="shared" si="75"/>
        <v>443.88062700964616</v>
      </c>
      <c r="M248" s="55">
        <f t="shared" si="75"/>
        <v>443.88062700964616</v>
      </c>
      <c r="N248" s="55">
        <f t="shared" si="75"/>
        <v>443.88062700964616</v>
      </c>
      <c r="O248" s="55">
        <f t="shared" si="75"/>
        <v>443.88062700964616</v>
      </c>
      <c r="P248" s="55">
        <f t="shared" si="75"/>
        <v>446.12339228295815</v>
      </c>
      <c r="Q248" s="55">
        <f t="shared" si="75"/>
        <v>423.70423487284421</v>
      </c>
      <c r="R248" s="55">
        <f t="shared" si="75"/>
        <v>423.70423487284421</v>
      </c>
      <c r="S248" s="55">
        <f t="shared" si="75"/>
        <v>423.70423487284421</v>
      </c>
      <c r="T248" s="55">
        <f t="shared" si="75"/>
        <v>423.70423487284427</v>
      </c>
      <c r="U248" s="55">
        <f t="shared" si="75"/>
        <v>0</v>
      </c>
      <c r="V248" s="55">
        <f t="shared" si="75"/>
        <v>0</v>
      </c>
      <c r="W248" s="55">
        <f t="shared" si="75"/>
        <v>0</v>
      </c>
      <c r="X248" s="55">
        <f t="shared" si="75"/>
        <v>0</v>
      </c>
      <c r="Y248" s="55">
        <f t="shared" si="75"/>
        <v>0</v>
      </c>
      <c r="Z248" s="55">
        <f t="shared" si="75"/>
        <v>0</v>
      </c>
      <c r="AA248" s="55">
        <f t="shared" si="75"/>
        <v>0</v>
      </c>
      <c r="AB248" s="55">
        <f t="shared" si="75"/>
        <v>0</v>
      </c>
      <c r="AC248" s="55">
        <f t="shared" si="75"/>
        <v>0</v>
      </c>
      <c r="AD248" s="55">
        <f t="shared" si="75"/>
        <v>0</v>
      </c>
    </row>
    <row r="249" spans="1:30" outlineLevel="1">
      <c r="A249" s="14"/>
      <c r="D249" s="44"/>
      <c r="E249" s="44"/>
      <c r="F249" s="44"/>
      <c r="G249" s="44"/>
      <c r="H249" s="44"/>
      <c r="I249" s="44"/>
      <c r="J249" s="44"/>
      <c r="K249" s="44"/>
      <c r="L249" s="44"/>
      <c r="M249" s="44"/>
      <c r="N249" s="44"/>
      <c r="O249" s="44"/>
      <c r="P249" s="44"/>
      <c r="Q249" s="44"/>
      <c r="R249" s="44"/>
      <c r="S249" s="44"/>
      <c r="T249" s="44"/>
      <c r="U249" s="44"/>
      <c r="V249" s="44"/>
      <c r="W249" s="44"/>
      <c r="X249" s="44"/>
      <c r="Y249" s="44"/>
      <c r="Z249" s="44"/>
      <c r="AA249" s="44"/>
      <c r="AB249" s="44"/>
      <c r="AC249" s="44"/>
      <c r="AD249" s="44"/>
    </row>
    <row r="250" spans="1:30" outlineLevel="1">
      <c r="A250" s="50" t="s">
        <v>59</v>
      </c>
      <c r="C250" s="44"/>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2"/>
      <c r="AC250" s="42"/>
      <c r="AD250" s="42"/>
    </row>
    <row r="251" spans="1:30" outlineLevel="1">
      <c r="A251" s="13" t="str">
        <f t="shared" ref="A251:AD251" si="76">A168</f>
        <v>copper concentrate grade - silver</v>
      </c>
      <c r="B251" s="13" t="str">
        <f t="shared" si="76"/>
        <v>g/t Ag</v>
      </c>
      <c r="C251" s="56">
        <f t="shared" si="76"/>
        <v>24.485032850630205</v>
      </c>
      <c r="D251" s="42">
        <f t="shared" si="76"/>
        <v>0</v>
      </c>
      <c r="E251" s="42">
        <f t="shared" si="76"/>
        <v>0</v>
      </c>
      <c r="F251" s="42">
        <f t="shared" si="76"/>
        <v>47.703598484848492</v>
      </c>
      <c r="G251" s="42">
        <f t="shared" si="76"/>
        <v>47.703598484848484</v>
      </c>
      <c r="H251" s="42">
        <f t="shared" si="76"/>
        <v>47.703598484848484</v>
      </c>
      <c r="I251" s="42">
        <f t="shared" si="76"/>
        <v>47.703598484848484</v>
      </c>
      <c r="J251" s="42">
        <f t="shared" si="76"/>
        <v>47.703598484848492</v>
      </c>
      <c r="K251" s="42">
        <f t="shared" si="76"/>
        <v>33.484848484848492</v>
      </c>
      <c r="L251" s="42">
        <f t="shared" si="76"/>
        <v>18.871753246753244</v>
      </c>
      <c r="M251" s="42">
        <f t="shared" si="76"/>
        <v>18.871753246753244</v>
      </c>
      <c r="N251" s="42">
        <f t="shared" si="76"/>
        <v>18.871753246753244</v>
      </c>
      <c r="O251" s="42">
        <f t="shared" si="76"/>
        <v>18.871753246753244</v>
      </c>
      <c r="P251" s="42">
        <f t="shared" si="76"/>
        <v>20.969497607655509</v>
      </c>
      <c r="Q251" s="42">
        <f t="shared" si="76"/>
        <v>0</v>
      </c>
      <c r="R251" s="42">
        <f t="shared" si="76"/>
        <v>0</v>
      </c>
      <c r="S251" s="42">
        <f t="shared" si="76"/>
        <v>0</v>
      </c>
      <c r="T251" s="42">
        <f t="shared" si="76"/>
        <v>0</v>
      </c>
      <c r="U251" s="42">
        <f t="shared" si="76"/>
        <v>0</v>
      </c>
      <c r="V251" s="42">
        <f t="shared" si="76"/>
        <v>0</v>
      </c>
      <c r="W251" s="42">
        <f t="shared" si="76"/>
        <v>0</v>
      </c>
      <c r="X251" s="42">
        <f t="shared" si="76"/>
        <v>0</v>
      </c>
      <c r="Y251" s="42">
        <f t="shared" si="76"/>
        <v>0</v>
      </c>
      <c r="Z251" s="42">
        <f t="shared" si="76"/>
        <v>0</v>
      </c>
      <c r="AA251" s="42">
        <f t="shared" si="76"/>
        <v>0</v>
      </c>
      <c r="AB251" s="42">
        <f t="shared" si="76"/>
        <v>0</v>
      </c>
      <c r="AC251" s="42">
        <f t="shared" si="76"/>
        <v>0</v>
      </c>
      <c r="AD251" s="42">
        <f t="shared" si="76"/>
        <v>0</v>
      </c>
    </row>
    <row r="252" spans="1:30" s="134" customFormat="1" outlineLevel="1">
      <c r="A252" s="63" t="str">
        <f>'Expected NPV &amp; Common Data'!A66</f>
        <v xml:space="preserve">25 Nov 2025 S Mullah email: Buyer shall pay for 90% of the final silver content, subject to a minimum deduction of 30 g per DMT, at the London Silver Spot/US Cents Quotation.
</v>
      </c>
      <c r="C252" s="64"/>
      <c r="D252" s="64"/>
      <c r="E252" s="64"/>
      <c r="F252" s="64"/>
      <c r="G252" s="64"/>
      <c r="H252" s="64"/>
      <c r="I252" s="64"/>
      <c r="J252" s="64"/>
      <c r="K252" s="64"/>
      <c r="L252" s="64"/>
      <c r="M252" s="64"/>
      <c r="N252" s="64"/>
      <c r="O252" s="64"/>
      <c r="P252" s="64"/>
      <c r="Q252" s="64"/>
      <c r="R252" s="64"/>
      <c r="S252" s="64"/>
      <c r="T252" s="64"/>
      <c r="U252" s="64"/>
      <c r="V252" s="64"/>
      <c r="W252" s="64"/>
      <c r="X252" s="64"/>
      <c r="Y252" s="64"/>
      <c r="Z252" s="64"/>
      <c r="AA252" s="64"/>
      <c r="AB252" s="64"/>
      <c r="AC252" s="64"/>
      <c r="AD252" s="64"/>
    </row>
    <row r="253" spans="1:30" outlineLevel="1">
      <c r="A253" s="247" t="str">
        <f>'Expected NPV &amp; Common Data'!A67</f>
        <v>Pay lesser of xx% of contained silver</v>
      </c>
      <c r="B253" s="247" t="str">
        <f>'Expected NPV &amp; Common Data'!B67</f>
        <v>% of Ag total content</v>
      </c>
      <c r="C253" s="247"/>
      <c r="D253" s="262">
        <f>'Expected NPV &amp; Common Data'!D67</f>
        <v>0.9</v>
      </c>
      <c r="E253" s="262">
        <f>'Expected NPV &amp; Common Data'!E67</f>
        <v>0.9</v>
      </c>
      <c r="F253" s="262">
        <f>'Expected NPV &amp; Common Data'!F67</f>
        <v>0.9</v>
      </c>
      <c r="G253" s="262">
        <f>'Expected NPV &amp; Common Data'!G67</f>
        <v>0.9</v>
      </c>
      <c r="H253" s="262">
        <f>'Expected NPV &amp; Common Data'!H67</f>
        <v>0.9</v>
      </c>
      <c r="I253" s="262">
        <f>'Expected NPV &amp; Common Data'!I67</f>
        <v>0.9</v>
      </c>
      <c r="J253" s="262">
        <f>'Expected NPV &amp; Common Data'!J67</f>
        <v>0.9</v>
      </c>
      <c r="K253" s="262">
        <f>'Expected NPV &amp; Common Data'!K67</f>
        <v>0.9</v>
      </c>
      <c r="L253" s="262">
        <f>'Expected NPV &amp; Common Data'!L67</f>
        <v>0.9</v>
      </c>
      <c r="M253" s="262">
        <f>'Expected NPV &amp; Common Data'!M67</f>
        <v>0.9</v>
      </c>
      <c r="N253" s="262">
        <f>'Expected NPV &amp; Common Data'!N67</f>
        <v>0.9</v>
      </c>
      <c r="O253" s="262">
        <f>'Expected NPV &amp; Common Data'!O67</f>
        <v>0.9</v>
      </c>
      <c r="P253" s="262">
        <f>'Expected NPV &amp; Common Data'!P67</f>
        <v>0.9</v>
      </c>
      <c r="Q253" s="262">
        <f>'Expected NPV &amp; Common Data'!Q67</f>
        <v>0.9</v>
      </c>
      <c r="R253" s="262">
        <f>'Expected NPV &amp; Common Data'!R67</f>
        <v>0.9</v>
      </c>
      <c r="S253" s="262">
        <f>'Expected NPV &amp; Common Data'!S67</f>
        <v>0.9</v>
      </c>
      <c r="T253" s="262">
        <f>'Expected NPV &amp; Common Data'!T67</f>
        <v>0.9</v>
      </c>
      <c r="U253" s="262">
        <f>'Expected NPV &amp; Common Data'!U67</f>
        <v>0.9</v>
      </c>
      <c r="V253" s="262">
        <f>'Expected NPV &amp; Common Data'!V67</f>
        <v>0.9</v>
      </c>
      <c r="W253" s="262">
        <f>'Expected NPV &amp; Common Data'!W67</f>
        <v>0.9</v>
      </c>
      <c r="X253" s="262">
        <f>'Expected NPV &amp; Common Data'!X67</f>
        <v>0.9</v>
      </c>
      <c r="Y253" s="262">
        <f>'Expected NPV &amp; Common Data'!Y67</f>
        <v>0.9</v>
      </c>
      <c r="Z253" s="262">
        <f>'Expected NPV &amp; Common Data'!Z67</f>
        <v>0.9</v>
      </c>
      <c r="AA253" s="262">
        <f>'Expected NPV &amp; Common Data'!AA67</f>
        <v>0.9</v>
      </c>
      <c r="AB253" s="262">
        <f>'Expected NPV &amp; Common Data'!AB67</f>
        <v>0.9</v>
      </c>
      <c r="AC253" s="262">
        <f>'Expected NPV &amp; Common Data'!AC67</f>
        <v>0.9</v>
      </c>
      <c r="AD253" s="262">
        <f>'Expected NPV &amp; Common Data'!AD67</f>
        <v>0.9</v>
      </c>
    </row>
    <row r="254" spans="1:30" outlineLevel="1">
      <c r="A254" s="247" t="str">
        <f>'Expected NPV &amp; Common Data'!A68</f>
        <v>OR minimum deduction …. g/t Ag</v>
      </c>
      <c r="B254" s="247"/>
      <c r="C254" s="248"/>
      <c r="D254" s="248">
        <f>'Expected NPV &amp; Common Data'!D68</f>
        <v>30</v>
      </c>
      <c r="E254" s="248">
        <f>'Expected NPV &amp; Common Data'!E68</f>
        <v>30</v>
      </c>
      <c r="F254" s="248">
        <f>'Expected NPV &amp; Common Data'!F68</f>
        <v>30</v>
      </c>
      <c r="G254" s="248">
        <f>'Expected NPV &amp; Common Data'!G68</f>
        <v>30</v>
      </c>
      <c r="H254" s="248">
        <f>'Expected NPV &amp; Common Data'!H68</f>
        <v>30</v>
      </c>
      <c r="I254" s="248">
        <f>'Expected NPV &amp; Common Data'!I68</f>
        <v>30</v>
      </c>
      <c r="J254" s="248">
        <f>'Expected NPV &amp; Common Data'!J68</f>
        <v>30</v>
      </c>
      <c r="K254" s="248">
        <f>'Expected NPV &amp; Common Data'!K68</f>
        <v>30</v>
      </c>
      <c r="L254" s="248">
        <f>'Expected NPV &amp; Common Data'!L68</f>
        <v>30</v>
      </c>
      <c r="M254" s="248">
        <f>'Expected NPV &amp; Common Data'!M68</f>
        <v>30</v>
      </c>
      <c r="N254" s="248">
        <f>'Expected NPV &amp; Common Data'!N68</f>
        <v>30</v>
      </c>
      <c r="O254" s="248">
        <f>'Expected NPV &amp; Common Data'!O68</f>
        <v>30</v>
      </c>
      <c r="P254" s="248">
        <f>'Expected NPV &amp; Common Data'!P68</f>
        <v>30</v>
      </c>
      <c r="Q254" s="248">
        <f>'Expected NPV &amp; Common Data'!Q68</f>
        <v>30</v>
      </c>
      <c r="R254" s="248">
        <f>'Expected NPV &amp; Common Data'!R68</f>
        <v>30</v>
      </c>
      <c r="S254" s="248">
        <f>'Expected NPV &amp; Common Data'!S68</f>
        <v>30</v>
      </c>
      <c r="T254" s="248">
        <f>'Expected NPV &amp; Common Data'!T68</f>
        <v>30</v>
      </c>
      <c r="U254" s="248">
        <f>'Expected NPV &amp; Common Data'!U68</f>
        <v>30</v>
      </c>
      <c r="V254" s="248">
        <f>'Expected NPV &amp; Common Data'!V68</f>
        <v>30</v>
      </c>
      <c r="W254" s="248">
        <f>'Expected NPV &amp; Common Data'!W68</f>
        <v>30</v>
      </c>
      <c r="X254" s="248">
        <f>'Expected NPV &amp; Common Data'!X68</f>
        <v>30</v>
      </c>
      <c r="Y254" s="248">
        <f>'Expected NPV &amp; Common Data'!Y68</f>
        <v>30</v>
      </c>
      <c r="Z254" s="248">
        <f>'Expected NPV &amp; Common Data'!Z68</f>
        <v>30</v>
      </c>
      <c r="AA254" s="248">
        <f>'Expected NPV &amp; Common Data'!AA68</f>
        <v>30</v>
      </c>
      <c r="AB254" s="248">
        <f>'Expected NPV &amp; Common Data'!AB68</f>
        <v>30</v>
      </c>
      <c r="AC254" s="248">
        <f>'Expected NPV &amp; Common Data'!AC68</f>
        <v>30</v>
      </c>
      <c r="AD254" s="248">
        <f>'Expected NPV &amp; Common Data'!AD68</f>
        <v>30</v>
      </c>
    </row>
    <row r="255" spans="1:30" outlineLevel="1">
      <c r="A255" s="13" t="s">
        <v>211</v>
      </c>
      <c r="B255" s="13" t="s">
        <v>37</v>
      </c>
      <c r="C255" s="44"/>
      <c r="D255" s="42">
        <f t="shared" ref="D255:AD255" si="77">MAX(0,MIN(D168*D253,D168-D254))</f>
        <v>0</v>
      </c>
      <c r="E255" s="42">
        <f t="shared" si="77"/>
        <v>0</v>
      </c>
      <c r="F255" s="42">
        <f t="shared" si="77"/>
        <v>17.703598484848492</v>
      </c>
      <c r="G255" s="42">
        <f t="shared" si="77"/>
        <v>17.703598484848484</v>
      </c>
      <c r="H255" s="42">
        <f t="shared" si="77"/>
        <v>17.703598484848484</v>
      </c>
      <c r="I255" s="42">
        <f t="shared" si="77"/>
        <v>17.703598484848484</v>
      </c>
      <c r="J255" s="42">
        <f t="shared" si="77"/>
        <v>17.703598484848492</v>
      </c>
      <c r="K255" s="42">
        <f t="shared" si="77"/>
        <v>3.4848484848484915</v>
      </c>
      <c r="L255" s="42">
        <f t="shared" si="77"/>
        <v>0</v>
      </c>
      <c r="M255" s="42">
        <f t="shared" si="77"/>
        <v>0</v>
      </c>
      <c r="N255" s="42">
        <f t="shared" si="77"/>
        <v>0</v>
      </c>
      <c r="O255" s="42">
        <f t="shared" si="77"/>
        <v>0</v>
      </c>
      <c r="P255" s="42">
        <f t="shared" si="77"/>
        <v>0</v>
      </c>
      <c r="Q255" s="42">
        <f t="shared" si="77"/>
        <v>0</v>
      </c>
      <c r="R255" s="42">
        <f t="shared" si="77"/>
        <v>0</v>
      </c>
      <c r="S255" s="42">
        <f t="shared" si="77"/>
        <v>0</v>
      </c>
      <c r="T255" s="42">
        <f t="shared" si="77"/>
        <v>0</v>
      </c>
      <c r="U255" s="42">
        <f t="shared" si="77"/>
        <v>0</v>
      </c>
      <c r="V255" s="42">
        <f t="shared" si="77"/>
        <v>0</v>
      </c>
      <c r="W255" s="42">
        <f t="shared" si="77"/>
        <v>0</v>
      </c>
      <c r="X255" s="42">
        <f t="shared" si="77"/>
        <v>0</v>
      </c>
      <c r="Y255" s="42">
        <f t="shared" si="77"/>
        <v>0</v>
      </c>
      <c r="Z255" s="42">
        <f t="shared" si="77"/>
        <v>0</v>
      </c>
      <c r="AA255" s="42">
        <f t="shared" si="77"/>
        <v>0</v>
      </c>
      <c r="AB255" s="42">
        <f t="shared" si="77"/>
        <v>0</v>
      </c>
      <c r="AC255" s="42">
        <f t="shared" si="77"/>
        <v>0</v>
      </c>
      <c r="AD255" s="42">
        <f t="shared" si="77"/>
        <v>0</v>
      </c>
    </row>
    <row r="256" spans="1:30" outlineLevel="1">
      <c r="A256" s="13" t="str">
        <f>A102</f>
        <v>Silver price forecast - High Case</v>
      </c>
      <c r="B256" s="13" t="str">
        <f>B102</f>
        <v>US$/ oz real</v>
      </c>
      <c r="C256" s="44"/>
      <c r="D256" s="42">
        <f t="shared" ref="D256:AD256" si="78">D102</f>
        <v>25</v>
      </c>
      <c r="E256" s="42">
        <f t="shared" si="78"/>
        <v>25</v>
      </c>
      <c r="F256" s="42">
        <f t="shared" si="78"/>
        <v>25</v>
      </c>
      <c r="G256" s="42">
        <f t="shared" si="78"/>
        <v>25</v>
      </c>
      <c r="H256" s="42">
        <f t="shared" si="78"/>
        <v>25</v>
      </c>
      <c r="I256" s="42">
        <f t="shared" si="78"/>
        <v>25</v>
      </c>
      <c r="J256" s="42">
        <f t="shared" si="78"/>
        <v>25</v>
      </c>
      <c r="K256" s="42">
        <f t="shared" si="78"/>
        <v>25</v>
      </c>
      <c r="L256" s="42">
        <f t="shared" si="78"/>
        <v>25</v>
      </c>
      <c r="M256" s="42">
        <f t="shared" si="78"/>
        <v>25</v>
      </c>
      <c r="N256" s="42">
        <f t="shared" si="78"/>
        <v>25</v>
      </c>
      <c r="O256" s="42">
        <f t="shared" si="78"/>
        <v>25</v>
      </c>
      <c r="P256" s="42">
        <f t="shared" si="78"/>
        <v>25</v>
      </c>
      <c r="Q256" s="42">
        <f t="shared" si="78"/>
        <v>25</v>
      </c>
      <c r="R256" s="42">
        <f t="shared" si="78"/>
        <v>25</v>
      </c>
      <c r="S256" s="42">
        <f t="shared" si="78"/>
        <v>25</v>
      </c>
      <c r="T256" s="42">
        <f t="shared" si="78"/>
        <v>25</v>
      </c>
      <c r="U256" s="42">
        <f t="shared" si="78"/>
        <v>25</v>
      </c>
      <c r="V256" s="42">
        <f t="shared" si="78"/>
        <v>25</v>
      </c>
      <c r="W256" s="42">
        <f t="shared" si="78"/>
        <v>25</v>
      </c>
      <c r="X256" s="42">
        <f t="shared" si="78"/>
        <v>25</v>
      </c>
      <c r="Y256" s="42">
        <f t="shared" si="78"/>
        <v>25</v>
      </c>
      <c r="Z256" s="42">
        <f t="shared" si="78"/>
        <v>25</v>
      </c>
      <c r="AA256" s="42">
        <f t="shared" si="78"/>
        <v>25</v>
      </c>
      <c r="AB256" s="42">
        <f t="shared" si="78"/>
        <v>25</v>
      </c>
      <c r="AC256" s="42">
        <f t="shared" si="78"/>
        <v>25</v>
      </c>
      <c r="AD256" s="42">
        <f t="shared" si="78"/>
        <v>25</v>
      </c>
    </row>
    <row r="257" spans="1:30" s="14" customFormat="1" outlineLevel="1">
      <c r="A257" s="14" t="s">
        <v>211</v>
      </c>
      <c r="B257" s="13" t="s">
        <v>49</v>
      </c>
      <c r="C257" s="92"/>
      <c r="D257" s="55">
        <f t="shared" ref="D257:AD257" si="79">D255/31.1*D256</f>
        <v>0</v>
      </c>
      <c r="E257" s="55">
        <f t="shared" si="79"/>
        <v>0</v>
      </c>
      <c r="F257" s="55">
        <f t="shared" si="79"/>
        <v>14.231188492643481</v>
      </c>
      <c r="G257" s="55">
        <f t="shared" si="79"/>
        <v>14.231188492643476</v>
      </c>
      <c r="H257" s="55">
        <f t="shared" si="79"/>
        <v>14.231188492643476</v>
      </c>
      <c r="I257" s="55">
        <f t="shared" si="79"/>
        <v>14.231188492643476</v>
      </c>
      <c r="J257" s="55">
        <f t="shared" si="79"/>
        <v>14.231188492643481</v>
      </c>
      <c r="K257" s="55">
        <f t="shared" si="79"/>
        <v>2.801325148592035</v>
      </c>
      <c r="L257" s="55">
        <f t="shared" si="79"/>
        <v>0</v>
      </c>
      <c r="M257" s="55">
        <f t="shared" si="79"/>
        <v>0</v>
      </c>
      <c r="N257" s="55">
        <f t="shared" si="79"/>
        <v>0</v>
      </c>
      <c r="O257" s="55">
        <f t="shared" si="79"/>
        <v>0</v>
      </c>
      <c r="P257" s="55">
        <f t="shared" si="79"/>
        <v>0</v>
      </c>
      <c r="Q257" s="55">
        <f t="shared" si="79"/>
        <v>0</v>
      </c>
      <c r="R257" s="55">
        <f t="shared" si="79"/>
        <v>0</v>
      </c>
      <c r="S257" s="55">
        <f t="shared" si="79"/>
        <v>0</v>
      </c>
      <c r="T257" s="55">
        <f t="shared" si="79"/>
        <v>0</v>
      </c>
      <c r="U257" s="55">
        <f t="shared" si="79"/>
        <v>0</v>
      </c>
      <c r="V257" s="55">
        <f t="shared" si="79"/>
        <v>0</v>
      </c>
      <c r="W257" s="55">
        <f t="shared" si="79"/>
        <v>0</v>
      </c>
      <c r="X257" s="55">
        <f t="shared" si="79"/>
        <v>0</v>
      </c>
      <c r="Y257" s="55">
        <f t="shared" si="79"/>
        <v>0</v>
      </c>
      <c r="Z257" s="55">
        <f t="shared" si="79"/>
        <v>0</v>
      </c>
      <c r="AA257" s="55">
        <f t="shared" si="79"/>
        <v>0</v>
      </c>
      <c r="AB257" s="55">
        <f t="shared" si="79"/>
        <v>0</v>
      </c>
      <c r="AC257" s="55">
        <f t="shared" si="79"/>
        <v>0</v>
      </c>
      <c r="AD257" s="55">
        <f t="shared" si="79"/>
        <v>0</v>
      </c>
    </row>
    <row r="258" spans="1:30" outlineLevel="1">
      <c r="C258" s="44"/>
      <c r="D258" s="42"/>
      <c r="E258" s="42"/>
      <c r="F258" s="42"/>
      <c r="G258" s="42"/>
      <c r="H258" s="42"/>
      <c r="I258" s="42"/>
      <c r="J258" s="42"/>
      <c r="K258" s="42"/>
      <c r="L258" s="42"/>
      <c r="M258" s="42"/>
      <c r="N258" s="42"/>
      <c r="O258" s="42"/>
      <c r="P258" s="42"/>
      <c r="Q258" s="42"/>
      <c r="R258" s="42"/>
      <c r="S258" s="42"/>
      <c r="T258" s="42"/>
      <c r="U258" s="42"/>
      <c r="V258" s="42"/>
      <c r="W258" s="42"/>
      <c r="X258" s="42"/>
      <c r="Y258" s="42"/>
      <c r="Z258" s="42"/>
      <c r="AA258" s="42"/>
      <c r="AB258" s="42"/>
      <c r="AC258" s="42"/>
      <c r="AD258" s="42"/>
    </row>
    <row r="259" spans="1:30" s="126" customFormat="1" ht="28.75" customHeight="1" outlineLevel="1">
      <c r="A259" s="126" t="s">
        <v>71</v>
      </c>
      <c r="B259" s="32" t="s">
        <v>208</v>
      </c>
      <c r="C259" s="125"/>
      <c r="D259" s="138">
        <f t="shared" ref="D259:AD259" si="80">D228+D248+D257</f>
        <v>0</v>
      </c>
      <c r="E259" s="138">
        <f t="shared" si="80"/>
        <v>0</v>
      </c>
      <c r="F259" s="138">
        <f t="shared" si="80"/>
        <v>3791.5930040446265</v>
      </c>
      <c r="G259" s="138">
        <f t="shared" si="80"/>
        <v>3791.593004044626</v>
      </c>
      <c r="H259" s="138">
        <f t="shared" si="80"/>
        <v>3791.593004044626</v>
      </c>
      <c r="I259" s="138">
        <f t="shared" si="80"/>
        <v>3791.593004044626</v>
      </c>
      <c r="J259" s="138">
        <f t="shared" si="80"/>
        <v>3791.593004044626</v>
      </c>
      <c r="K259" s="138">
        <f t="shared" si="80"/>
        <v>3764.9614224529864</v>
      </c>
      <c r="L259" s="138">
        <f t="shared" si="80"/>
        <v>3746.536772009646</v>
      </c>
      <c r="M259" s="138">
        <f t="shared" si="80"/>
        <v>3746.536772009646</v>
      </c>
      <c r="N259" s="138">
        <f t="shared" si="80"/>
        <v>3746.536772009646</v>
      </c>
      <c r="O259" s="138">
        <f t="shared" si="80"/>
        <v>3746.536772009646</v>
      </c>
      <c r="P259" s="138">
        <f t="shared" si="80"/>
        <v>3748.7795372829582</v>
      </c>
      <c r="Q259" s="138">
        <f t="shared" si="80"/>
        <v>3726.3603798728441</v>
      </c>
      <c r="R259" s="138">
        <f t="shared" si="80"/>
        <v>3726.3603798728441</v>
      </c>
      <c r="S259" s="138">
        <f t="shared" si="80"/>
        <v>3726.3603798728441</v>
      </c>
      <c r="T259" s="138">
        <f t="shared" si="80"/>
        <v>3726.3603798728441</v>
      </c>
      <c r="U259" s="138">
        <f t="shared" si="80"/>
        <v>0</v>
      </c>
      <c r="V259" s="138">
        <f t="shared" si="80"/>
        <v>0</v>
      </c>
      <c r="W259" s="138">
        <f t="shared" si="80"/>
        <v>0</v>
      </c>
      <c r="X259" s="138">
        <f t="shared" si="80"/>
        <v>0</v>
      </c>
      <c r="Y259" s="138">
        <f t="shared" si="80"/>
        <v>0</v>
      </c>
      <c r="Z259" s="138">
        <f t="shared" si="80"/>
        <v>0</v>
      </c>
      <c r="AA259" s="138">
        <f t="shared" si="80"/>
        <v>0</v>
      </c>
      <c r="AB259" s="138">
        <f t="shared" si="80"/>
        <v>0</v>
      </c>
      <c r="AC259" s="138">
        <f t="shared" si="80"/>
        <v>0</v>
      </c>
      <c r="AD259" s="138">
        <f t="shared" si="80"/>
        <v>0</v>
      </c>
    </row>
    <row r="260" spans="1:30" outlineLevel="1">
      <c r="C260" s="44"/>
      <c r="D260" s="42"/>
      <c r="E260" s="42"/>
      <c r="F260" s="42"/>
      <c r="G260" s="42"/>
      <c r="H260" s="42"/>
      <c r="I260" s="42"/>
      <c r="J260" s="42"/>
      <c r="K260" s="42"/>
      <c r="L260" s="42"/>
      <c r="M260" s="42"/>
      <c r="N260" s="42"/>
      <c r="O260" s="42"/>
      <c r="P260" s="42"/>
      <c r="Q260" s="42"/>
      <c r="R260" s="42"/>
      <c r="S260" s="42"/>
      <c r="T260" s="42"/>
      <c r="U260" s="42"/>
      <c r="V260" s="42"/>
      <c r="W260" s="42"/>
      <c r="X260" s="42"/>
      <c r="Y260" s="42"/>
      <c r="Z260" s="42"/>
      <c r="AA260" s="42"/>
      <c r="AB260" s="42"/>
      <c r="AC260" s="42"/>
      <c r="AD260" s="42"/>
    </row>
    <row r="261" spans="1:30" outlineLevel="1">
      <c r="A261" s="50" t="s">
        <v>212</v>
      </c>
      <c r="C261" s="44"/>
      <c r="D261" s="42"/>
      <c r="E261" s="42"/>
      <c r="F261" s="42"/>
      <c r="G261" s="42"/>
      <c r="H261" s="42"/>
      <c r="I261" s="42"/>
      <c r="J261" s="42"/>
      <c r="K261" s="42"/>
      <c r="L261" s="42"/>
      <c r="M261" s="42"/>
      <c r="N261" s="42"/>
      <c r="O261" s="42"/>
      <c r="P261" s="42"/>
      <c r="Q261" s="42"/>
      <c r="R261" s="42"/>
      <c r="S261" s="42"/>
      <c r="T261" s="42"/>
      <c r="U261" s="42"/>
      <c r="V261" s="42"/>
      <c r="W261" s="42"/>
      <c r="X261" s="42"/>
      <c r="Y261" s="42"/>
      <c r="Z261" s="42"/>
      <c r="AA261" s="42"/>
      <c r="AB261" s="42"/>
      <c r="AC261" s="42"/>
      <c r="AD261" s="42"/>
    </row>
    <row r="262" spans="1:30" outlineLevel="1">
      <c r="A262" s="49" t="s">
        <v>64</v>
      </c>
      <c r="C262" s="44"/>
      <c r="D262" s="42"/>
      <c r="E262" s="42"/>
      <c r="F262" s="42"/>
      <c r="G262" s="42"/>
      <c r="H262" s="42"/>
      <c r="I262" s="42"/>
      <c r="J262" s="42"/>
      <c r="K262" s="42"/>
      <c r="L262" s="42"/>
      <c r="M262" s="42"/>
      <c r="N262" s="42"/>
      <c r="O262" s="42"/>
      <c r="P262" s="42"/>
      <c r="Q262" s="42"/>
      <c r="R262" s="42"/>
      <c r="S262" s="42"/>
      <c r="T262" s="42"/>
      <c r="U262" s="42"/>
      <c r="V262" s="42"/>
      <c r="W262" s="42"/>
      <c r="X262" s="42"/>
      <c r="Y262" s="42"/>
      <c r="Z262" s="42"/>
      <c r="AA262" s="42"/>
      <c r="AB262" s="42"/>
      <c r="AC262" s="42"/>
      <c r="AD262" s="42"/>
    </row>
    <row r="263" spans="1:30" s="14" customFormat="1" outlineLevel="1">
      <c r="A263" s="14" t="s">
        <v>69</v>
      </c>
      <c r="B263" s="13" t="s">
        <v>60</v>
      </c>
      <c r="C263" s="92"/>
      <c r="D263" s="55">
        <f t="shared" ref="D263:AD263" si="81">IF(D259=0,0,D105)</f>
        <v>0</v>
      </c>
      <c r="E263" s="55">
        <f t="shared" si="81"/>
        <v>0</v>
      </c>
      <c r="F263" s="55">
        <f t="shared" si="81"/>
        <v>80</v>
      </c>
      <c r="G263" s="55">
        <f t="shared" si="81"/>
        <v>80</v>
      </c>
      <c r="H263" s="55">
        <f t="shared" si="81"/>
        <v>80</v>
      </c>
      <c r="I263" s="55">
        <f t="shared" si="81"/>
        <v>80</v>
      </c>
      <c r="J263" s="55">
        <f t="shared" si="81"/>
        <v>80</v>
      </c>
      <c r="K263" s="55">
        <f t="shared" si="81"/>
        <v>80</v>
      </c>
      <c r="L263" s="55">
        <f t="shared" si="81"/>
        <v>80</v>
      </c>
      <c r="M263" s="55">
        <f t="shared" si="81"/>
        <v>80</v>
      </c>
      <c r="N263" s="55">
        <f t="shared" si="81"/>
        <v>80</v>
      </c>
      <c r="O263" s="55">
        <f t="shared" si="81"/>
        <v>80</v>
      </c>
      <c r="P263" s="55">
        <f t="shared" si="81"/>
        <v>80</v>
      </c>
      <c r="Q263" s="55">
        <f t="shared" si="81"/>
        <v>80</v>
      </c>
      <c r="R263" s="55">
        <f t="shared" si="81"/>
        <v>80</v>
      </c>
      <c r="S263" s="55">
        <f t="shared" si="81"/>
        <v>80</v>
      </c>
      <c r="T263" s="55">
        <f t="shared" si="81"/>
        <v>80</v>
      </c>
      <c r="U263" s="55">
        <f t="shared" si="81"/>
        <v>0</v>
      </c>
      <c r="V263" s="55">
        <f t="shared" si="81"/>
        <v>0</v>
      </c>
      <c r="W263" s="55">
        <f t="shared" si="81"/>
        <v>0</v>
      </c>
      <c r="X263" s="55">
        <f t="shared" si="81"/>
        <v>0</v>
      </c>
      <c r="Y263" s="55">
        <f t="shared" si="81"/>
        <v>0</v>
      </c>
      <c r="Z263" s="55">
        <f t="shared" si="81"/>
        <v>0</v>
      </c>
      <c r="AA263" s="55">
        <f t="shared" si="81"/>
        <v>0</v>
      </c>
      <c r="AB263" s="55">
        <f t="shared" si="81"/>
        <v>0</v>
      </c>
      <c r="AC263" s="55">
        <f t="shared" si="81"/>
        <v>0</v>
      </c>
      <c r="AD263" s="55">
        <f t="shared" si="81"/>
        <v>0</v>
      </c>
    </row>
    <row r="264" spans="1:30" outlineLevel="1">
      <c r="C264" s="44"/>
      <c r="D264" s="42"/>
      <c r="E264" s="42"/>
      <c r="F264" s="42"/>
      <c r="G264" s="42"/>
      <c r="H264" s="42"/>
      <c r="I264" s="42"/>
      <c r="J264" s="42"/>
      <c r="K264" s="42"/>
      <c r="L264" s="42"/>
      <c r="M264" s="42"/>
      <c r="N264" s="42"/>
      <c r="O264" s="42"/>
      <c r="P264" s="42"/>
      <c r="Q264" s="42"/>
      <c r="R264" s="42"/>
      <c r="S264" s="42"/>
      <c r="T264" s="42"/>
      <c r="U264" s="42"/>
      <c r="V264" s="42"/>
      <c r="W264" s="42"/>
      <c r="X264" s="42"/>
      <c r="Y264" s="42"/>
      <c r="Z264" s="42"/>
      <c r="AA264" s="42"/>
      <c r="AB264" s="42"/>
      <c r="AC264" s="42"/>
      <c r="AD264" s="42"/>
    </row>
    <row r="265" spans="1:30" outlineLevel="1">
      <c r="A265" s="13" t="str">
        <f>A226</f>
        <v>Concentrate's - copper payable</v>
      </c>
      <c r="B265" s="13" t="str">
        <f>B226</f>
        <v>% Cu per tonne concentrate</v>
      </c>
      <c r="C265" s="44"/>
      <c r="D265" s="47">
        <f t="shared" ref="D265:AD265" si="82">D226</f>
        <v>0</v>
      </c>
      <c r="E265" s="47">
        <f t="shared" si="82"/>
        <v>0</v>
      </c>
      <c r="F265" s="47">
        <f t="shared" si="82"/>
        <v>0.29961500000000002</v>
      </c>
      <c r="G265" s="47">
        <f t="shared" si="82"/>
        <v>0.29961500000000002</v>
      </c>
      <c r="H265" s="47">
        <f t="shared" si="82"/>
        <v>0.29961500000000002</v>
      </c>
      <c r="I265" s="47">
        <f t="shared" si="82"/>
        <v>0.29961500000000002</v>
      </c>
      <c r="J265" s="47">
        <f t="shared" si="82"/>
        <v>0.29961500000000002</v>
      </c>
      <c r="K265" s="47">
        <f t="shared" si="82"/>
        <v>0.29961500000000002</v>
      </c>
      <c r="L265" s="47">
        <f t="shared" si="82"/>
        <v>0.29961500000000002</v>
      </c>
      <c r="M265" s="47">
        <f t="shared" si="82"/>
        <v>0.29961500000000002</v>
      </c>
      <c r="N265" s="47">
        <f t="shared" si="82"/>
        <v>0.29961500000000002</v>
      </c>
      <c r="O265" s="47">
        <f t="shared" si="82"/>
        <v>0.29961500000000002</v>
      </c>
      <c r="P265" s="47">
        <f t="shared" si="82"/>
        <v>0.29961500000000002</v>
      </c>
      <c r="Q265" s="47">
        <f t="shared" si="82"/>
        <v>0.29961500000000002</v>
      </c>
      <c r="R265" s="47">
        <f t="shared" si="82"/>
        <v>0.29961500000000002</v>
      </c>
      <c r="S265" s="47">
        <f t="shared" si="82"/>
        <v>0.29961500000000002</v>
      </c>
      <c r="T265" s="47">
        <f t="shared" si="82"/>
        <v>0.29961500000000002</v>
      </c>
      <c r="U265" s="47">
        <f t="shared" si="82"/>
        <v>0</v>
      </c>
      <c r="V265" s="47">
        <f t="shared" si="82"/>
        <v>0</v>
      </c>
      <c r="W265" s="47">
        <f t="shared" si="82"/>
        <v>0</v>
      </c>
      <c r="X265" s="47">
        <f t="shared" si="82"/>
        <v>0</v>
      </c>
      <c r="Y265" s="47">
        <f t="shared" si="82"/>
        <v>0</v>
      </c>
      <c r="Z265" s="47">
        <f t="shared" si="82"/>
        <v>0</v>
      </c>
      <c r="AA265" s="47">
        <f t="shared" si="82"/>
        <v>0</v>
      </c>
      <c r="AB265" s="47">
        <f t="shared" si="82"/>
        <v>0</v>
      </c>
      <c r="AC265" s="47">
        <f t="shared" si="82"/>
        <v>0</v>
      </c>
      <c r="AD265" s="47">
        <f t="shared" si="82"/>
        <v>0</v>
      </c>
    </row>
    <row r="266" spans="1:30" outlineLevel="1">
      <c r="A266" s="13" t="str">
        <f>A106</f>
        <v>copper conc - copper refining charges - High Case</v>
      </c>
      <c r="B266" s="13" t="str">
        <f>B106</f>
        <v>US$/lb payable Real</v>
      </c>
      <c r="C266" s="44"/>
      <c r="D266" s="79">
        <f t="shared" ref="D266:AD266" si="83">D106</f>
        <v>0.08</v>
      </c>
      <c r="E266" s="79">
        <f t="shared" si="83"/>
        <v>0.08</v>
      </c>
      <c r="F266" s="79">
        <f t="shared" si="83"/>
        <v>0.08</v>
      </c>
      <c r="G266" s="79">
        <f t="shared" si="83"/>
        <v>0.08</v>
      </c>
      <c r="H266" s="79">
        <f t="shared" si="83"/>
        <v>0.08</v>
      </c>
      <c r="I266" s="79">
        <f t="shared" si="83"/>
        <v>0.08</v>
      </c>
      <c r="J266" s="79">
        <f t="shared" si="83"/>
        <v>0.08</v>
      </c>
      <c r="K266" s="79">
        <f t="shared" si="83"/>
        <v>0.08</v>
      </c>
      <c r="L266" s="79">
        <f t="shared" si="83"/>
        <v>0.08</v>
      </c>
      <c r="M266" s="79">
        <f t="shared" si="83"/>
        <v>0.08</v>
      </c>
      <c r="N266" s="79">
        <f t="shared" si="83"/>
        <v>0.08</v>
      </c>
      <c r="O266" s="79">
        <f t="shared" si="83"/>
        <v>0.08</v>
      </c>
      <c r="P266" s="79">
        <f t="shared" si="83"/>
        <v>0.08</v>
      </c>
      <c r="Q266" s="79">
        <f t="shared" si="83"/>
        <v>0.08</v>
      </c>
      <c r="R266" s="79">
        <f t="shared" si="83"/>
        <v>0.08</v>
      </c>
      <c r="S266" s="79">
        <f t="shared" si="83"/>
        <v>0.08</v>
      </c>
      <c r="T266" s="79">
        <f t="shared" si="83"/>
        <v>0.08</v>
      </c>
      <c r="U266" s="79">
        <f t="shared" si="83"/>
        <v>0.08</v>
      </c>
      <c r="V266" s="79">
        <f t="shared" si="83"/>
        <v>0.08</v>
      </c>
      <c r="W266" s="79">
        <f t="shared" si="83"/>
        <v>0.08</v>
      </c>
      <c r="X266" s="79">
        <f t="shared" si="83"/>
        <v>0.08</v>
      </c>
      <c r="Y266" s="79">
        <f t="shared" si="83"/>
        <v>0.08</v>
      </c>
      <c r="Z266" s="79">
        <f t="shared" si="83"/>
        <v>0.08</v>
      </c>
      <c r="AA266" s="79">
        <f t="shared" si="83"/>
        <v>0.08</v>
      </c>
      <c r="AB266" s="79">
        <f t="shared" si="83"/>
        <v>0.08</v>
      </c>
      <c r="AC266" s="79">
        <f t="shared" si="83"/>
        <v>0.08</v>
      </c>
      <c r="AD266" s="79">
        <f t="shared" si="83"/>
        <v>0.08</v>
      </c>
    </row>
    <row r="267" spans="1:30" s="14" customFormat="1" outlineLevel="1">
      <c r="A267" s="14" t="s">
        <v>67</v>
      </c>
      <c r="B267" s="13" t="s">
        <v>63</v>
      </c>
      <c r="C267" s="92"/>
      <c r="D267" s="55">
        <f t="shared" ref="D267:AD267" si="84">D265*2204.6*D266</f>
        <v>0</v>
      </c>
      <c r="E267" s="55">
        <f t="shared" si="84"/>
        <v>0</v>
      </c>
      <c r="F267" s="55">
        <f t="shared" si="84"/>
        <v>52.842498320000004</v>
      </c>
      <c r="G267" s="55">
        <f t="shared" si="84"/>
        <v>52.842498320000004</v>
      </c>
      <c r="H267" s="55">
        <f t="shared" si="84"/>
        <v>52.842498320000004</v>
      </c>
      <c r="I267" s="55">
        <f t="shared" si="84"/>
        <v>52.842498320000004</v>
      </c>
      <c r="J267" s="55">
        <f t="shared" si="84"/>
        <v>52.842498320000004</v>
      </c>
      <c r="K267" s="55">
        <f t="shared" si="84"/>
        <v>52.842498320000004</v>
      </c>
      <c r="L267" s="55">
        <f t="shared" si="84"/>
        <v>52.842498320000004</v>
      </c>
      <c r="M267" s="55">
        <f t="shared" si="84"/>
        <v>52.842498320000004</v>
      </c>
      <c r="N267" s="55">
        <f t="shared" si="84"/>
        <v>52.842498320000004</v>
      </c>
      <c r="O267" s="55">
        <f t="shared" si="84"/>
        <v>52.842498320000004</v>
      </c>
      <c r="P267" s="55">
        <f t="shared" si="84"/>
        <v>52.842498320000004</v>
      </c>
      <c r="Q267" s="55">
        <f t="shared" si="84"/>
        <v>52.842498320000004</v>
      </c>
      <c r="R267" s="55">
        <f t="shared" si="84"/>
        <v>52.842498320000004</v>
      </c>
      <c r="S267" s="55">
        <f t="shared" si="84"/>
        <v>52.842498320000004</v>
      </c>
      <c r="T267" s="55">
        <f t="shared" si="84"/>
        <v>52.842498320000004</v>
      </c>
      <c r="U267" s="55">
        <f t="shared" si="84"/>
        <v>0</v>
      </c>
      <c r="V267" s="55">
        <f t="shared" si="84"/>
        <v>0</v>
      </c>
      <c r="W267" s="55">
        <f t="shared" si="84"/>
        <v>0</v>
      </c>
      <c r="X267" s="55">
        <f t="shared" si="84"/>
        <v>0</v>
      </c>
      <c r="Y267" s="55">
        <f t="shared" si="84"/>
        <v>0</v>
      </c>
      <c r="Z267" s="55">
        <f t="shared" si="84"/>
        <v>0</v>
      </c>
      <c r="AA267" s="55">
        <f t="shared" si="84"/>
        <v>0</v>
      </c>
      <c r="AB267" s="55">
        <f t="shared" si="84"/>
        <v>0</v>
      </c>
      <c r="AC267" s="55">
        <f t="shared" si="84"/>
        <v>0</v>
      </c>
      <c r="AD267" s="55">
        <f t="shared" si="84"/>
        <v>0</v>
      </c>
    </row>
    <row r="268" spans="1:30" outlineLevel="1">
      <c r="C268" s="44"/>
      <c r="D268" s="42"/>
      <c r="E268" s="42"/>
      <c r="F268" s="42"/>
      <c r="G268" s="42"/>
      <c r="H268" s="42"/>
      <c r="I268" s="42"/>
      <c r="J268" s="42"/>
      <c r="K268" s="42"/>
      <c r="L268" s="42"/>
      <c r="M268" s="42"/>
      <c r="N268" s="42"/>
      <c r="O268" s="42"/>
      <c r="P268" s="42"/>
      <c r="Q268" s="42"/>
      <c r="R268" s="42"/>
      <c r="S268" s="42"/>
      <c r="T268" s="42"/>
      <c r="U268" s="42"/>
      <c r="V268" s="42"/>
      <c r="W268" s="42"/>
      <c r="X268" s="42"/>
      <c r="Y268" s="42"/>
      <c r="Z268" s="42"/>
      <c r="AA268" s="42"/>
      <c r="AB268" s="42"/>
      <c r="AC268" s="42"/>
      <c r="AD268" s="42"/>
    </row>
    <row r="269" spans="1:30" outlineLevel="1">
      <c r="A269" s="13" t="str">
        <f>A246</f>
        <v>Concentrate's - gold payable</v>
      </c>
      <c r="B269" s="13" t="str">
        <f>B246</f>
        <v>g/t Au</v>
      </c>
      <c r="C269" s="44"/>
      <c r="D269" s="56">
        <f t="shared" ref="D269:AD269" si="85">D246</f>
        <v>0</v>
      </c>
      <c r="E269" s="56">
        <f t="shared" si="85"/>
        <v>0</v>
      </c>
      <c r="F269" s="56">
        <f t="shared" si="85"/>
        <v>5.9053385416666675</v>
      </c>
      <c r="G269" s="56">
        <f t="shared" si="85"/>
        <v>5.9053385416666657</v>
      </c>
      <c r="H269" s="56">
        <f t="shared" si="85"/>
        <v>5.9053385416666657</v>
      </c>
      <c r="I269" s="56">
        <f t="shared" si="85"/>
        <v>5.9053385416666657</v>
      </c>
      <c r="J269" s="56">
        <f t="shared" si="85"/>
        <v>5.9053385416666666</v>
      </c>
      <c r="K269" s="56">
        <f t="shared" si="85"/>
        <v>5.7162291666666665</v>
      </c>
      <c r="L269" s="56">
        <f t="shared" si="85"/>
        <v>5.5218749999999988</v>
      </c>
      <c r="M269" s="56">
        <f t="shared" si="85"/>
        <v>5.5218749999999988</v>
      </c>
      <c r="N269" s="56">
        <f t="shared" si="85"/>
        <v>5.5218749999999988</v>
      </c>
      <c r="O269" s="56">
        <f t="shared" si="85"/>
        <v>5.5218749999999988</v>
      </c>
      <c r="P269" s="56">
        <f t="shared" si="85"/>
        <v>5.5497749999999995</v>
      </c>
      <c r="Q269" s="56">
        <f t="shared" si="85"/>
        <v>5.2708806818181815</v>
      </c>
      <c r="R269" s="56">
        <f t="shared" si="85"/>
        <v>5.2708806818181815</v>
      </c>
      <c r="S269" s="56">
        <f t="shared" si="85"/>
        <v>5.2708806818181815</v>
      </c>
      <c r="T269" s="56">
        <f t="shared" si="85"/>
        <v>5.2708806818181824</v>
      </c>
      <c r="U269" s="56">
        <f t="shared" si="85"/>
        <v>0</v>
      </c>
      <c r="V269" s="56">
        <f t="shared" si="85"/>
        <v>0</v>
      </c>
      <c r="W269" s="56">
        <f t="shared" si="85"/>
        <v>0</v>
      </c>
      <c r="X269" s="56">
        <f t="shared" si="85"/>
        <v>0</v>
      </c>
      <c r="Y269" s="56">
        <f t="shared" si="85"/>
        <v>0</v>
      </c>
      <c r="Z269" s="56">
        <f t="shared" si="85"/>
        <v>0</v>
      </c>
      <c r="AA269" s="56">
        <f t="shared" si="85"/>
        <v>0</v>
      </c>
      <c r="AB269" s="56">
        <f t="shared" si="85"/>
        <v>0</v>
      </c>
      <c r="AC269" s="56">
        <f t="shared" si="85"/>
        <v>0</v>
      </c>
      <c r="AD269" s="56">
        <f t="shared" si="85"/>
        <v>0</v>
      </c>
    </row>
    <row r="270" spans="1:30" outlineLevel="1">
      <c r="A270" s="13" t="str">
        <f>A107</f>
        <v>copper conc - gold refining charges - High Case</v>
      </c>
      <c r="B270" s="13" t="str">
        <f>B107</f>
        <v>US$/oz payable Real</v>
      </c>
      <c r="C270" s="44"/>
      <c r="D270" s="57">
        <f t="shared" ref="D270:AD270" si="86">D107</f>
        <v>5</v>
      </c>
      <c r="E270" s="57">
        <f t="shared" si="86"/>
        <v>5</v>
      </c>
      <c r="F270" s="57">
        <f t="shared" si="86"/>
        <v>5</v>
      </c>
      <c r="G270" s="57">
        <f t="shared" si="86"/>
        <v>5</v>
      </c>
      <c r="H270" s="57">
        <f t="shared" si="86"/>
        <v>5</v>
      </c>
      <c r="I270" s="57">
        <f t="shared" si="86"/>
        <v>5</v>
      </c>
      <c r="J270" s="57">
        <f t="shared" si="86"/>
        <v>5</v>
      </c>
      <c r="K270" s="57">
        <f t="shared" si="86"/>
        <v>5</v>
      </c>
      <c r="L270" s="57">
        <f t="shared" si="86"/>
        <v>5</v>
      </c>
      <c r="M270" s="57">
        <f t="shared" si="86"/>
        <v>5</v>
      </c>
      <c r="N270" s="57">
        <f t="shared" si="86"/>
        <v>5</v>
      </c>
      <c r="O270" s="57">
        <f t="shared" si="86"/>
        <v>5</v>
      </c>
      <c r="P270" s="57">
        <f t="shared" si="86"/>
        <v>5</v>
      </c>
      <c r="Q270" s="57">
        <f t="shared" si="86"/>
        <v>5</v>
      </c>
      <c r="R270" s="57">
        <f t="shared" si="86"/>
        <v>5</v>
      </c>
      <c r="S270" s="57">
        <f t="shared" si="86"/>
        <v>5</v>
      </c>
      <c r="T270" s="57">
        <f t="shared" si="86"/>
        <v>5</v>
      </c>
      <c r="U270" s="57">
        <f t="shared" si="86"/>
        <v>5</v>
      </c>
      <c r="V270" s="57">
        <f t="shared" si="86"/>
        <v>5</v>
      </c>
      <c r="W270" s="57">
        <f t="shared" si="86"/>
        <v>5</v>
      </c>
      <c r="X270" s="57">
        <f t="shared" si="86"/>
        <v>5</v>
      </c>
      <c r="Y270" s="57">
        <f t="shared" si="86"/>
        <v>5</v>
      </c>
      <c r="Z270" s="57">
        <f t="shared" si="86"/>
        <v>5</v>
      </c>
      <c r="AA270" s="57">
        <f t="shared" si="86"/>
        <v>5</v>
      </c>
      <c r="AB270" s="57">
        <f t="shared" si="86"/>
        <v>5</v>
      </c>
      <c r="AC270" s="57">
        <f t="shared" si="86"/>
        <v>5</v>
      </c>
      <c r="AD270" s="57">
        <f t="shared" si="86"/>
        <v>5</v>
      </c>
    </row>
    <row r="271" spans="1:30" s="14" customFormat="1" outlineLevel="1">
      <c r="A271" s="14" t="s">
        <v>68</v>
      </c>
      <c r="B271" s="13" t="s">
        <v>63</v>
      </c>
      <c r="C271" s="92"/>
      <c r="D271" s="55">
        <f t="shared" ref="D271:AD271" si="87">D269/31.1*D270</f>
        <v>0</v>
      </c>
      <c r="E271" s="55">
        <f t="shared" si="87"/>
        <v>0</v>
      </c>
      <c r="F271" s="55">
        <f t="shared" si="87"/>
        <v>0.94941134110396574</v>
      </c>
      <c r="G271" s="55">
        <f t="shared" si="87"/>
        <v>0.94941134110396552</v>
      </c>
      <c r="H271" s="55">
        <f t="shared" si="87"/>
        <v>0.94941134110396552</v>
      </c>
      <c r="I271" s="55">
        <f t="shared" si="87"/>
        <v>0.94941134110396552</v>
      </c>
      <c r="J271" s="55">
        <f t="shared" si="87"/>
        <v>0.94941134110396563</v>
      </c>
      <c r="K271" s="55">
        <f t="shared" si="87"/>
        <v>0.91900790460878867</v>
      </c>
      <c r="L271" s="55">
        <f t="shared" si="87"/>
        <v>0.8877612540192924</v>
      </c>
      <c r="M271" s="55">
        <f t="shared" si="87"/>
        <v>0.8877612540192924</v>
      </c>
      <c r="N271" s="55">
        <f t="shared" si="87"/>
        <v>0.8877612540192924</v>
      </c>
      <c r="O271" s="55">
        <f t="shared" si="87"/>
        <v>0.8877612540192924</v>
      </c>
      <c r="P271" s="55">
        <f t="shared" si="87"/>
        <v>0.89224678456591633</v>
      </c>
      <c r="Q271" s="55">
        <f t="shared" si="87"/>
        <v>0.8474084697456884</v>
      </c>
      <c r="R271" s="55">
        <f t="shared" si="87"/>
        <v>0.8474084697456884</v>
      </c>
      <c r="S271" s="55">
        <f t="shared" si="87"/>
        <v>0.8474084697456884</v>
      </c>
      <c r="T271" s="55">
        <f t="shared" si="87"/>
        <v>0.84740846974568851</v>
      </c>
      <c r="U271" s="55">
        <f t="shared" si="87"/>
        <v>0</v>
      </c>
      <c r="V271" s="55">
        <f t="shared" si="87"/>
        <v>0</v>
      </c>
      <c r="W271" s="55">
        <f t="shared" si="87"/>
        <v>0</v>
      </c>
      <c r="X271" s="55">
        <f t="shared" si="87"/>
        <v>0</v>
      </c>
      <c r="Y271" s="55">
        <f t="shared" si="87"/>
        <v>0</v>
      </c>
      <c r="Z271" s="55">
        <f t="shared" si="87"/>
        <v>0</v>
      </c>
      <c r="AA271" s="55">
        <f t="shared" si="87"/>
        <v>0</v>
      </c>
      <c r="AB271" s="55">
        <f t="shared" si="87"/>
        <v>0</v>
      </c>
      <c r="AC271" s="55">
        <f t="shared" si="87"/>
        <v>0</v>
      </c>
      <c r="AD271" s="55">
        <f t="shared" si="87"/>
        <v>0</v>
      </c>
    </row>
    <row r="272" spans="1:30" outlineLevel="1">
      <c r="C272" s="44"/>
      <c r="D272" s="42"/>
      <c r="E272" s="42"/>
      <c r="F272" s="42"/>
      <c r="G272" s="42"/>
      <c r="H272" s="42"/>
      <c r="I272" s="42"/>
      <c r="J272" s="42"/>
      <c r="K272" s="42"/>
      <c r="L272" s="42"/>
      <c r="M272" s="42"/>
      <c r="N272" s="42"/>
      <c r="O272" s="42"/>
      <c r="P272" s="42"/>
      <c r="Q272" s="42"/>
      <c r="R272" s="42"/>
      <c r="S272" s="42"/>
      <c r="T272" s="42"/>
      <c r="U272" s="42"/>
      <c r="V272" s="42"/>
      <c r="W272" s="42"/>
      <c r="X272" s="42"/>
      <c r="Y272" s="42"/>
      <c r="Z272" s="42"/>
      <c r="AA272" s="42"/>
      <c r="AB272" s="42"/>
      <c r="AC272" s="42"/>
      <c r="AD272" s="42"/>
    </row>
    <row r="273" spans="1:30" outlineLevel="1">
      <c r="A273" s="13" t="str">
        <f>A255</f>
        <v>Copper concentrate - silver payable</v>
      </c>
      <c r="B273" s="13" t="str">
        <f>B255</f>
        <v>g/t Ag</v>
      </c>
      <c r="C273" s="44"/>
      <c r="D273" s="42">
        <f t="shared" ref="D273:AD273" si="88">D255</f>
        <v>0</v>
      </c>
      <c r="E273" s="42">
        <f t="shared" si="88"/>
        <v>0</v>
      </c>
      <c r="F273" s="42">
        <f t="shared" si="88"/>
        <v>17.703598484848492</v>
      </c>
      <c r="G273" s="42">
        <f t="shared" si="88"/>
        <v>17.703598484848484</v>
      </c>
      <c r="H273" s="42">
        <f t="shared" si="88"/>
        <v>17.703598484848484</v>
      </c>
      <c r="I273" s="42">
        <f t="shared" si="88"/>
        <v>17.703598484848484</v>
      </c>
      <c r="J273" s="42">
        <f t="shared" si="88"/>
        <v>17.703598484848492</v>
      </c>
      <c r="K273" s="42">
        <f t="shared" si="88"/>
        <v>3.4848484848484915</v>
      </c>
      <c r="L273" s="42">
        <f t="shared" si="88"/>
        <v>0</v>
      </c>
      <c r="M273" s="42">
        <f t="shared" si="88"/>
        <v>0</v>
      </c>
      <c r="N273" s="42">
        <f t="shared" si="88"/>
        <v>0</v>
      </c>
      <c r="O273" s="42">
        <f t="shared" si="88"/>
        <v>0</v>
      </c>
      <c r="P273" s="42">
        <f t="shared" si="88"/>
        <v>0</v>
      </c>
      <c r="Q273" s="42">
        <f t="shared" si="88"/>
        <v>0</v>
      </c>
      <c r="R273" s="42">
        <f t="shared" si="88"/>
        <v>0</v>
      </c>
      <c r="S273" s="42">
        <f t="shared" si="88"/>
        <v>0</v>
      </c>
      <c r="T273" s="42">
        <f t="shared" si="88"/>
        <v>0</v>
      </c>
      <c r="U273" s="42">
        <f t="shared" si="88"/>
        <v>0</v>
      </c>
      <c r="V273" s="42">
        <f t="shared" si="88"/>
        <v>0</v>
      </c>
      <c r="W273" s="42">
        <f t="shared" si="88"/>
        <v>0</v>
      </c>
      <c r="X273" s="42">
        <f t="shared" si="88"/>
        <v>0</v>
      </c>
      <c r="Y273" s="42">
        <f t="shared" si="88"/>
        <v>0</v>
      </c>
      <c r="Z273" s="42">
        <f t="shared" si="88"/>
        <v>0</v>
      </c>
      <c r="AA273" s="42">
        <f t="shared" si="88"/>
        <v>0</v>
      </c>
      <c r="AB273" s="42">
        <f t="shared" si="88"/>
        <v>0</v>
      </c>
      <c r="AC273" s="42">
        <f t="shared" si="88"/>
        <v>0</v>
      </c>
      <c r="AD273" s="42">
        <f t="shared" si="88"/>
        <v>0</v>
      </c>
    </row>
    <row r="274" spans="1:30" outlineLevel="1">
      <c r="A274" s="13" t="str">
        <f>A108</f>
        <v>copper conc - silver refining charges - High Case</v>
      </c>
      <c r="B274" s="13" t="str">
        <f>B108</f>
        <v>US$/oz payable Real</v>
      </c>
      <c r="C274" s="44"/>
      <c r="D274" s="57">
        <f t="shared" ref="D274:AD274" si="89">D108</f>
        <v>0.5</v>
      </c>
      <c r="E274" s="57">
        <f t="shared" si="89"/>
        <v>0.5</v>
      </c>
      <c r="F274" s="57">
        <f t="shared" si="89"/>
        <v>0.5</v>
      </c>
      <c r="G274" s="57">
        <f t="shared" si="89"/>
        <v>0.5</v>
      </c>
      <c r="H274" s="57">
        <f t="shared" si="89"/>
        <v>0.5</v>
      </c>
      <c r="I274" s="57">
        <f t="shared" si="89"/>
        <v>0.5</v>
      </c>
      <c r="J274" s="57">
        <f t="shared" si="89"/>
        <v>0.5</v>
      </c>
      <c r="K274" s="57">
        <f t="shared" si="89"/>
        <v>0.5</v>
      </c>
      <c r="L274" s="57">
        <f t="shared" si="89"/>
        <v>0.5</v>
      </c>
      <c r="M274" s="57">
        <f t="shared" si="89"/>
        <v>0.5</v>
      </c>
      <c r="N274" s="57">
        <f t="shared" si="89"/>
        <v>0.5</v>
      </c>
      <c r="O274" s="57">
        <f t="shared" si="89"/>
        <v>0.5</v>
      </c>
      <c r="P274" s="57">
        <f t="shared" si="89"/>
        <v>0.5</v>
      </c>
      <c r="Q274" s="57">
        <f t="shared" si="89"/>
        <v>0.5</v>
      </c>
      <c r="R274" s="57">
        <f t="shared" si="89"/>
        <v>0.5</v>
      </c>
      <c r="S274" s="57">
        <f t="shared" si="89"/>
        <v>0.5</v>
      </c>
      <c r="T274" s="57">
        <f t="shared" si="89"/>
        <v>0.5</v>
      </c>
      <c r="U274" s="57">
        <f t="shared" si="89"/>
        <v>0.5</v>
      </c>
      <c r="V274" s="57">
        <f t="shared" si="89"/>
        <v>0.5</v>
      </c>
      <c r="W274" s="57">
        <f t="shared" si="89"/>
        <v>0.5</v>
      </c>
      <c r="X274" s="57">
        <f t="shared" si="89"/>
        <v>0.5</v>
      </c>
      <c r="Y274" s="57">
        <f t="shared" si="89"/>
        <v>0.5</v>
      </c>
      <c r="Z274" s="57">
        <f t="shared" si="89"/>
        <v>0.5</v>
      </c>
      <c r="AA274" s="57">
        <f t="shared" si="89"/>
        <v>0.5</v>
      </c>
      <c r="AB274" s="57">
        <f t="shared" si="89"/>
        <v>0.5</v>
      </c>
      <c r="AC274" s="57">
        <f t="shared" si="89"/>
        <v>0.5</v>
      </c>
      <c r="AD274" s="57">
        <f t="shared" si="89"/>
        <v>0.5</v>
      </c>
    </row>
    <row r="275" spans="1:30" s="14" customFormat="1" outlineLevel="1">
      <c r="A275" s="14" t="s">
        <v>70</v>
      </c>
      <c r="B275" s="13" t="s">
        <v>63</v>
      </c>
      <c r="C275" s="92"/>
      <c r="D275" s="68">
        <f t="shared" ref="D275:AD275" si="90">D273/31.1*D274</f>
        <v>0</v>
      </c>
      <c r="E275" s="68">
        <f t="shared" si="90"/>
        <v>0</v>
      </c>
      <c r="F275" s="68">
        <f t="shared" si="90"/>
        <v>0.28462376985286963</v>
      </c>
      <c r="G275" s="68">
        <f t="shared" si="90"/>
        <v>0.28462376985286952</v>
      </c>
      <c r="H275" s="68">
        <f t="shared" si="90"/>
        <v>0.28462376985286952</v>
      </c>
      <c r="I275" s="68">
        <f t="shared" si="90"/>
        <v>0.28462376985286952</v>
      </c>
      <c r="J275" s="68">
        <f t="shared" si="90"/>
        <v>0.28462376985286963</v>
      </c>
      <c r="K275" s="68">
        <f t="shared" si="90"/>
        <v>5.6026502971840697E-2</v>
      </c>
      <c r="L275" s="68">
        <f t="shared" si="90"/>
        <v>0</v>
      </c>
      <c r="M275" s="68">
        <f t="shared" si="90"/>
        <v>0</v>
      </c>
      <c r="N275" s="68">
        <f t="shared" si="90"/>
        <v>0</v>
      </c>
      <c r="O275" s="68">
        <f t="shared" si="90"/>
        <v>0</v>
      </c>
      <c r="P275" s="68">
        <f t="shared" si="90"/>
        <v>0</v>
      </c>
      <c r="Q275" s="68">
        <f t="shared" si="90"/>
        <v>0</v>
      </c>
      <c r="R275" s="68">
        <f t="shared" si="90"/>
        <v>0</v>
      </c>
      <c r="S275" s="68">
        <f t="shared" si="90"/>
        <v>0</v>
      </c>
      <c r="T275" s="68">
        <f t="shared" si="90"/>
        <v>0</v>
      </c>
      <c r="U275" s="68">
        <f t="shared" si="90"/>
        <v>0</v>
      </c>
      <c r="V275" s="68">
        <f t="shared" si="90"/>
        <v>0</v>
      </c>
      <c r="W275" s="68">
        <f t="shared" si="90"/>
        <v>0</v>
      </c>
      <c r="X275" s="68">
        <f t="shared" si="90"/>
        <v>0</v>
      </c>
      <c r="Y275" s="68">
        <f t="shared" si="90"/>
        <v>0</v>
      </c>
      <c r="Z275" s="68">
        <f t="shared" si="90"/>
        <v>0</v>
      </c>
      <c r="AA275" s="68">
        <f t="shared" si="90"/>
        <v>0</v>
      </c>
      <c r="AB275" s="68">
        <f t="shared" si="90"/>
        <v>0</v>
      </c>
      <c r="AC275" s="68">
        <f t="shared" si="90"/>
        <v>0</v>
      </c>
      <c r="AD275" s="68">
        <f t="shared" si="90"/>
        <v>0</v>
      </c>
    </row>
    <row r="276" spans="1:30" outlineLevel="1">
      <c r="C276" s="44"/>
      <c r="D276" s="42"/>
      <c r="E276" s="42"/>
      <c r="F276" s="42"/>
      <c r="G276" s="42"/>
      <c r="H276" s="42"/>
      <c r="I276" s="42"/>
      <c r="J276" s="42"/>
      <c r="K276" s="42"/>
      <c r="L276" s="42"/>
      <c r="M276" s="42"/>
      <c r="N276" s="42"/>
      <c r="O276" s="42"/>
      <c r="P276" s="42"/>
      <c r="Q276" s="42"/>
      <c r="R276" s="42"/>
      <c r="S276" s="42"/>
      <c r="T276" s="42"/>
      <c r="U276" s="42"/>
      <c r="V276" s="42"/>
      <c r="W276" s="42"/>
      <c r="X276" s="42"/>
      <c r="Y276" s="42"/>
      <c r="Z276" s="42"/>
      <c r="AA276" s="42"/>
      <c r="AB276" s="42"/>
      <c r="AC276" s="42"/>
      <c r="AD276" s="42"/>
    </row>
    <row r="277" spans="1:30" s="126" customFormat="1" ht="28.75" customHeight="1" outlineLevel="1">
      <c r="A277" s="126" t="s">
        <v>72</v>
      </c>
      <c r="B277" s="32" t="s">
        <v>63</v>
      </c>
      <c r="C277" s="125"/>
      <c r="D277" s="138">
        <f t="shared" ref="D277:AD277" si="91">D263+D267+D271+D275</f>
        <v>0</v>
      </c>
      <c r="E277" s="138">
        <f t="shared" si="91"/>
        <v>0</v>
      </c>
      <c r="F277" s="138">
        <f t="shared" si="91"/>
        <v>134.07653343095683</v>
      </c>
      <c r="G277" s="138">
        <f t="shared" si="91"/>
        <v>134.07653343095683</v>
      </c>
      <c r="H277" s="138">
        <f t="shared" si="91"/>
        <v>134.07653343095683</v>
      </c>
      <c r="I277" s="138">
        <f t="shared" si="91"/>
        <v>134.07653343095683</v>
      </c>
      <c r="J277" s="138">
        <f t="shared" si="91"/>
        <v>134.07653343095683</v>
      </c>
      <c r="K277" s="138">
        <f t="shared" si="91"/>
        <v>133.81753272758061</v>
      </c>
      <c r="L277" s="138">
        <f t="shared" si="91"/>
        <v>133.7302595740193</v>
      </c>
      <c r="M277" s="138">
        <f t="shared" si="91"/>
        <v>133.7302595740193</v>
      </c>
      <c r="N277" s="138">
        <f t="shared" si="91"/>
        <v>133.7302595740193</v>
      </c>
      <c r="O277" s="138">
        <f t="shared" si="91"/>
        <v>133.7302595740193</v>
      </c>
      <c r="P277" s="138">
        <f t="shared" si="91"/>
        <v>133.73474510456592</v>
      </c>
      <c r="Q277" s="138">
        <f t="shared" si="91"/>
        <v>133.68990678974569</v>
      </c>
      <c r="R277" s="138">
        <f t="shared" si="91"/>
        <v>133.68990678974569</v>
      </c>
      <c r="S277" s="138">
        <f t="shared" si="91"/>
        <v>133.68990678974569</v>
      </c>
      <c r="T277" s="138">
        <f t="shared" si="91"/>
        <v>133.68990678974569</v>
      </c>
      <c r="U277" s="138">
        <f t="shared" si="91"/>
        <v>0</v>
      </c>
      <c r="V277" s="138">
        <f t="shared" si="91"/>
        <v>0</v>
      </c>
      <c r="W277" s="138">
        <f t="shared" si="91"/>
        <v>0</v>
      </c>
      <c r="X277" s="138">
        <f t="shared" si="91"/>
        <v>0</v>
      </c>
      <c r="Y277" s="138">
        <f t="shared" si="91"/>
        <v>0</v>
      </c>
      <c r="Z277" s="138">
        <f t="shared" si="91"/>
        <v>0</v>
      </c>
      <c r="AA277" s="138">
        <f t="shared" si="91"/>
        <v>0</v>
      </c>
      <c r="AB277" s="138">
        <f t="shared" si="91"/>
        <v>0</v>
      </c>
      <c r="AC277" s="138">
        <f t="shared" si="91"/>
        <v>0</v>
      </c>
      <c r="AD277" s="138">
        <f t="shared" si="91"/>
        <v>0</v>
      </c>
    </row>
    <row r="278" spans="1:30" s="14" customFormat="1" outlineLevel="1">
      <c r="B278" s="13"/>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c r="AA278" s="44"/>
      <c r="AB278" s="44"/>
      <c r="AC278" s="44"/>
      <c r="AD278" s="44"/>
    </row>
    <row r="279" spans="1:30" outlineLevel="1">
      <c r="A279" s="50" t="s">
        <v>74</v>
      </c>
      <c r="C279" s="44"/>
      <c r="D279" s="42"/>
      <c r="E279" s="42"/>
      <c r="F279" s="42"/>
      <c r="G279" s="42"/>
      <c r="H279" s="42"/>
      <c r="I279" s="42"/>
      <c r="J279" s="42"/>
      <c r="K279" s="42"/>
      <c r="L279" s="42"/>
      <c r="M279" s="42"/>
      <c r="N279" s="42"/>
      <c r="O279" s="42"/>
      <c r="P279" s="42"/>
      <c r="Q279" s="42"/>
      <c r="R279" s="42"/>
      <c r="S279" s="42"/>
      <c r="T279" s="42"/>
      <c r="U279" s="42"/>
      <c r="V279" s="42"/>
      <c r="W279" s="42"/>
      <c r="X279" s="42"/>
      <c r="Y279" s="42"/>
      <c r="Z279" s="42"/>
      <c r="AA279" s="42"/>
      <c r="AB279" s="42"/>
      <c r="AC279" s="42"/>
      <c r="AD279" s="42"/>
    </row>
    <row r="280" spans="1:30" s="126" customFormat="1" ht="28.75" customHeight="1" outlineLevel="1">
      <c r="A280" s="124" t="s">
        <v>73</v>
      </c>
      <c r="B280" s="32" t="s">
        <v>63</v>
      </c>
      <c r="C280" s="125"/>
      <c r="D280" s="137">
        <f t="shared" ref="D280:AD280" si="92">D259-D277</f>
        <v>0</v>
      </c>
      <c r="E280" s="137">
        <f t="shared" si="92"/>
        <v>0</v>
      </c>
      <c r="F280" s="137">
        <f t="shared" si="92"/>
        <v>3657.5164706136698</v>
      </c>
      <c r="G280" s="137">
        <f t="shared" si="92"/>
        <v>3657.5164706136693</v>
      </c>
      <c r="H280" s="137">
        <f t="shared" si="92"/>
        <v>3657.5164706136693</v>
      </c>
      <c r="I280" s="137">
        <f t="shared" si="92"/>
        <v>3657.5164706136693</v>
      </c>
      <c r="J280" s="137">
        <f t="shared" si="92"/>
        <v>3657.5164706136693</v>
      </c>
      <c r="K280" s="137">
        <f t="shared" si="92"/>
        <v>3631.1438897254056</v>
      </c>
      <c r="L280" s="137">
        <f t="shared" si="92"/>
        <v>3612.8065124356267</v>
      </c>
      <c r="M280" s="137">
        <f t="shared" si="92"/>
        <v>3612.8065124356267</v>
      </c>
      <c r="N280" s="137">
        <f t="shared" si="92"/>
        <v>3612.8065124356267</v>
      </c>
      <c r="O280" s="137">
        <f t="shared" si="92"/>
        <v>3612.8065124356267</v>
      </c>
      <c r="P280" s="137">
        <f t="shared" si="92"/>
        <v>3615.0447921783925</v>
      </c>
      <c r="Q280" s="137">
        <f t="shared" si="92"/>
        <v>3592.6704730830984</v>
      </c>
      <c r="R280" s="137">
        <f t="shared" si="92"/>
        <v>3592.6704730830984</v>
      </c>
      <c r="S280" s="137">
        <f t="shared" si="92"/>
        <v>3592.6704730830984</v>
      </c>
      <c r="T280" s="137">
        <f t="shared" si="92"/>
        <v>3592.6704730830984</v>
      </c>
      <c r="U280" s="137">
        <f t="shared" si="92"/>
        <v>0</v>
      </c>
      <c r="V280" s="137">
        <f t="shared" si="92"/>
        <v>0</v>
      </c>
      <c r="W280" s="137">
        <f t="shared" si="92"/>
        <v>0</v>
      </c>
      <c r="X280" s="137">
        <f t="shared" si="92"/>
        <v>0</v>
      </c>
      <c r="Y280" s="137">
        <f t="shared" si="92"/>
        <v>0</v>
      </c>
      <c r="Z280" s="137">
        <f t="shared" si="92"/>
        <v>0</v>
      </c>
      <c r="AA280" s="137">
        <f t="shared" si="92"/>
        <v>0</v>
      </c>
      <c r="AB280" s="137">
        <f t="shared" si="92"/>
        <v>0</v>
      </c>
      <c r="AC280" s="137">
        <f t="shared" si="92"/>
        <v>0</v>
      </c>
      <c r="AD280" s="137">
        <f t="shared" si="92"/>
        <v>0</v>
      </c>
    </row>
    <row r="281" spans="1:30" s="14" customFormat="1" outlineLevel="1">
      <c r="A281" s="13" t="s">
        <v>79</v>
      </c>
      <c r="B281" s="13"/>
      <c r="C281" s="93"/>
      <c r="D281" s="44"/>
      <c r="E281" s="44"/>
      <c r="F281" s="44"/>
      <c r="G281" s="44"/>
      <c r="H281" s="44"/>
      <c r="I281" s="44"/>
      <c r="J281" s="44"/>
      <c r="K281" s="44"/>
      <c r="L281" s="44"/>
      <c r="M281" s="44"/>
      <c r="N281" s="44"/>
      <c r="O281" s="44"/>
      <c r="P281" s="44"/>
      <c r="Q281" s="44"/>
      <c r="R281" s="44"/>
      <c r="S281" s="44"/>
      <c r="T281" s="44"/>
      <c r="U281" s="44"/>
      <c r="V281" s="44"/>
      <c r="W281" s="44"/>
      <c r="X281" s="44"/>
      <c r="Y281" s="44"/>
      <c r="Z281" s="44"/>
      <c r="AA281" s="44"/>
      <c r="AB281" s="44"/>
      <c r="AC281" s="44"/>
      <c r="AD281" s="44"/>
    </row>
    <row r="282" spans="1:30" outlineLevel="1">
      <c r="A282" s="13" t="s">
        <v>76</v>
      </c>
      <c r="B282" s="13" t="s">
        <v>63</v>
      </c>
      <c r="C282" s="93"/>
      <c r="D282" s="42">
        <f t="shared" ref="D282:AD282" si="93">D228-D263-D267</f>
        <v>0</v>
      </c>
      <c r="E282" s="42">
        <f t="shared" si="93"/>
        <v>0</v>
      </c>
      <c r="F282" s="42">
        <f t="shared" si="93"/>
        <v>3169.8136466799997</v>
      </c>
      <c r="G282" s="42">
        <f t="shared" si="93"/>
        <v>3169.8136466799997</v>
      </c>
      <c r="H282" s="42">
        <f t="shared" si="93"/>
        <v>3169.8136466799997</v>
      </c>
      <c r="I282" s="42">
        <f t="shared" si="93"/>
        <v>3169.8136466799997</v>
      </c>
      <c r="J282" s="42">
        <f t="shared" si="93"/>
        <v>3169.8136466799997</v>
      </c>
      <c r="K282" s="42">
        <f t="shared" si="93"/>
        <v>3169.8136466799997</v>
      </c>
      <c r="L282" s="42">
        <f t="shared" si="93"/>
        <v>3169.8136466799997</v>
      </c>
      <c r="M282" s="42">
        <f t="shared" si="93"/>
        <v>3169.8136466799997</v>
      </c>
      <c r="N282" s="42">
        <f t="shared" si="93"/>
        <v>3169.8136466799997</v>
      </c>
      <c r="O282" s="42">
        <f t="shared" si="93"/>
        <v>3169.8136466799997</v>
      </c>
      <c r="P282" s="42">
        <f t="shared" si="93"/>
        <v>3169.8136466799997</v>
      </c>
      <c r="Q282" s="42">
        <f t="shared" si="93"/>
        <v>3169.8136466799997</v>
      </c>
      <c r="R282" s="42">
        <f t="shared" si="93"/>
        <v>3169.8136466799997</v>
      </c>
      <c r="S282" s="42">
        <f t="shared" si="93"/>
        <v>3169.8136466799997</v>
      </c>
      <c r="T282" s="42">
        <f t="shared" si="93"/>
        <v>3169.8136466799997</v>
      </c>
      <c r="U282" s="42">
        <f t="shared" si="93"/>
        <v>0</v>
      </c>
      <c r="V282" s="42">
        <f t="shared" si="93"/>
        <v>0</v>
      </c>
      <c r="W282" s="42">
        <f t="shared" si="93"/>
        <v>0</v>
      </c>
      <c r="X282" s="42">
        <f t="shared" si="93"/>
        <v>0</v>
      </c>
      <c r="Y282" s="42">
        <f t="shared" si="93"/>
        <v>0</v>
      </c>
      <c r="Z282" s="42">
        <f t="shared" si="93"/>
        <v>0</v>
      </c>
      <c r="AA282" s="42">
        <f t="shared" si="93"/>
        <v>0</v>
      </c>
      <c r="AB282" s="42">
        <f t="shared" si="93"/>
        <v>0</v>
      </c>
      <c r="AC282" s="42">
        <f t="shared" si="93"/>
        <v>0</v>
      </c>
      <c r="AD282" s="42">
        <f t="shared" si="93"/>
        <v>0</v>
      </c>
    </row>
    <row r="283" spans="1:30" outlineLevel="1">
      <c r="A283" s="13" t="s">
        <v>77</v>
      </c>
      <c r="B283" s="13" t="s">
        <v>63</v>
      </c>
      <c r="C283" s="93"/>
      <c r="D283" s="42">
        <f t="shared" ref="D283:AD283" si="94">D248-D271</f>
        <v>0</v>
      </c>
      <c r="E283" s="42">
        <f t="shared" si="94"/>
        <v>0</v>
      </c>
      <c r="F283" s="42">
        <f t="shared" si="94"/>
        <v>473.75625921087897</v>
      </c>
      <c r="G283" s="42">
        <f t="shared" si="94"/>
        <v>473.7562592108788</v>
      </c>
      <c r="H283" s="42">
        <f t="shared" si="94"/>
        <v>473.7562592108788</v>
      </c>
      <c r="I283" s="42">
        <f t="shared" si="94"/>
        <v>473.7562592108788</v>
      </c>
      <c r="J283" s="42">
        <f t="shared" si="94"/>
        <v>473.75625921087885</v>
      </c>
      <c r="K283" s="42">
        <f t="shared" si="94"/>
        <v>458.58494439978557</v>
      </c>
      <c r="L283" s="42">
        <f t="shared" si="94"/>
        <v>442.99286575562689</v>
      </c>
      <c r="M283" s="42">
        <f t="shared" si="94"/>
        <v>442.99286575562689</v>
      </c>
      <c r="N283" s="42">
        <f t="shared" si="94"/>
        <v>442.99286575562689</v>
      </c>
      <c r="O283" s="42">
        <f t="shared" si="94"/>
        <v>442.99286575562689</v>
      </c>
      <c r="P283" s="42">
        <f t="shared" si="94"/>
        <v>445.23114549839221</v>
      </c>
      <c r="Q283" s="42">
        <f t="shared" si="94"/>
        <v>422.85682640309852</v>
      </c>
      <c r="R283" s="42">
        <f t="shared" si="94"/>
        <v>422.85682640309852</v>
      </c>
      <c r="S283" s="42">
        <f t="shared" si="94"/>
        <v>422.85682640309852</v>
      </c>
      <c r="T283" s="42">
        <f t="shared" si="94"/>
        <v>422.85682640309858</v>
      </c>
      <c r="U283" s="42">
        <f t="shared" si="94"/>
        <v>0</v>
      </c>
      <c r="V283" s="42">
        <f t="shared" si="94"/>
        <v>0</v>
      </c>
      <c r="W283" s="42">
        <f t="shared" si="94"/>
        <v>0</v>
      </c>
      <c r="X283" s="42">
        <f t="shared" si="94"/>
        <v>0</v>
      </c>
      <c r="Y283" s="42">
        <f t="shared" si="94"/>
        <v>0</v>
      </c>
      <c r="Z283" s="42">
        <f t="shared" si="94"/>
        <v>0</v>
      </c>
      <c r="AA283" s="42">
        <f t="shared" si="94"/>
        <v>0</v>
      </c>
      <c r="AB283" s="42">
        <f t="shared" si="94"/>
        <v>0</v>
      </c>
      <c r="AC283" s="42">
        <f t="shared" si="94"/>
        <v>0</v>
      </c>
      <c r="AD283" s="42">
        <f t="shared" si="94"/>
        <v>0</v>
      </c>
    </row>
    <row r="284" spans="1:30" outlineLevel="1">
      <c r="A284" s="13" t="s">
        <v>78</v>
      </c>
      <c r="B284" s="13" t="s">
        <v>63</v>
      </c>
      <c r="C284" s="93"/>
      <c r="D284" s="42">
        <f t="shared" ref="D284:AD284" si="95">D257-D275</f>
        <v>0</v>
      </c>
      <c r="E284" s="42">
        <f t="shared" si="95"/>
        <v>0</v>
      </c>
      <c r="F284" s="42">
        <f t="shared" si="95"/>
        <v>13.946564722790612</v>
      </c>
      <c r="G284" s="42">
        <f t="shared" si="95"/>
        <v>13.946564722790606</v>
      </c>
      <c r="H284" s="42">
        <f t="shared" si="95"/>
        <v>13.946564722790606</v>
      </c>
      <c r="I284" s="42">
        <f t="shared" si="95"/>
        <v>13.946564722790606</v>
      </c>
      <c r="J284" s="42">
        <f t="shared" si="95"/>
        <v>13.946564722790612</v>
      </c>
      <c r="K284" s="42">
        <f t="shared" si="95"/>
        <v>2.7452986456201942</v>
      </c>
      <c r="L284" s="42">
        <f t="shared" si="95"/>
        <v>0</v>
      </c>
      <c r="M284" s="42">
        <f t="shared" si="95"/>
        <v>0</v>
      </c>
      <c r="N284" s="42">
        <f t="shared" si="95"/>
        <v>0</v>
      </c>
      <c r="O284" s="42">
        <f t="shared" si="95"/>
        <v>0</v>
      </c>
      <c r="P284" s="42">
        <f t="shared" si="95"/>
        <v>0</v>
      </c>
      <c r="Q284" s="42">
        <f t="shared" si="95"/>
        <v>0</v>
      </c>
      <c r="R284" s="42">
        <f t="shared" si="95"/>
        <v>0</v>
      </c>
      <c r="S284" s="42">
        <f t="shared" si="95"/>
        <v>0</v>
      </c>
      <c r="T284" s="42">
        <f t="shared" si="95"/>
        <v>0</v>
      </c>
      <c r="U284" s="42">
        <f t="shared" si="95"/>
        <v>0</v>
      </c>
      <c r="V284" s="42">
        <f t="shared" si="95"/>
        <v>0</v>
      </c>
      <c r="W284" s="42">
        <f t="shared" si="95"/>
        <v>0</v>
      </c>
      <c r="X284" s="42">
        <f t="shared" si="95"/>
        <v>0</v>
      </c>
      <c r="Y284" s="42">
        <f t="shared" si="95"/>
        <v>0</v>
      </c>
      <c r="Z284" s="42">
        <f t="shared" si="95"/>
        <v>0</v>
      </c>
      <c r="AA284" s="42">
        <f t="shared" si="95"/>
        <v>0</v>
      </c>
      <c r="AB284" s="42">
        <f t="shared" si="95"/>
        <v>0</v>
      </c>
      <c r="AC284" s="42">
        <f t="shared" si="95"/>
        <v>0</v>
      </c>
      <c r="AD284" s="42">
        <f t="shared" si="95"/>
        <v>0</v>
      </c>
    </row>
    <row r="285" spans="1:30" ht="18" customHeight="1">
      <c r="C285" s="44"/>
      <c r="D285" s="42"/>
      <c r="E285" s="42"/>
      <c r="F285" s="42"/>
      <c r="G285" s="42"/>
      <c r="H285" s="42"/>
      <c r="I285" s="42"/>
      <c r="J285" s="42"/>
      <c r="K285" s="42"/>
      <c r="L285" s="42"/>
      <c r="M285" s="42"/>
      <c r="N285" s="42"/>
      <c r="O285" s="42"/>
      <c r="P285" s="42"/>
      <c r="Q285" s="42"/>
      <c r="R285" s="42"/>
      <c r="S285" s="42"/>
      <c r="T285" s="42"/>
      <c r="U285" s="42"/>
      <c r="V285" s="42"/>
      <c r="W285" s="42"/>
      <c r="X285" s="42"/>
      <c r="Y285" s="42"/>
      <c r="Z285" s="42"/>
      <c r="AA285" s="42"/>
      <c r="AB285" s="42"/>
      <c r="AC285" s="42"/>
      <c r="AD285" s="42"/>
    </row>
    <row r="286" spans="1:30" ht="33" customHeight="1" outlineLevel="1">
      <c r="A286" s="24" t="s">
        <v>203</v>
      </c>
      <c r="D286" s="15"/>
      <c r="E286" s="15"/>
      <c r="F286" s="15"/>
      <c r="G286" s="15"/>
      <c r="H286" s="15"/>
      <c r="I286" s="15"/>
      <c r="J286" s="15"/>
      <c r="K286" s="15"/>
      <c r="L286" s="15"/>
      <c r="M286" s="15"/>
      <c r="N286" s="15"/>
      <c r="O286" s="15"/>
      <c r="P286" s="15"/>
      <c r="Q286" s="15"/>
      <c r="R286" s="15"/>
      <c r="S286" s="15"/>
      <c r="T286" s="15"/>
      <c r="U286" s="15"/>
      <c r="V286" s="15"/>
      <c r="W286" s="15"/>
      <c r="X286" s="15"/>
      <c r="Y286" s="15"/>
      <c r="Z286" s="15"/>
      <c r="AA286" s="15"/>
      <c r="AB286" s="15"/>
      <c r="AC286" s="15"/>
      <c r="AD286" s="15"/>
    </row>
    <row r="287" spans="1:30" outlineLevel="1">
      <c r="A287" s="45" t="s">
        <v>104</v>
      </c>
      <c r="B287" s="13" t="s">
        <v>99</v>
      </c>
      <c r="C287" s="38"/>
      <c r="D287" s="47">
        <f t="shared" ref="D287:AD287" si="96">IF(D178=0,0,D177)</f>
        <v>0</v>
      </c>
      <c r="E287" s="47">
        <f t="shared" si="96"/>
        <v>0</v>
      </c>
      <c r="F287" s="47">
        <f t="shared" si="96"/>
        <v>0.55000000000000004</v>
      </c>
      <c r="G287" s="47">
        <f t="shared" si="96"/>
        <v>0.55000000000000004</v>
      </c>
      <c r="H287" s="47">
        <f t="shared" si="96"/>
        <v>0.55000000000000004</v>
      </c>
      <c r="I287" s="47">
        <f t="shared" si="96"/>
        <v>0.55000000000000004</v>
      </c>
      <c r="J287" s="47">
        <f t="shared" si="96"/>
        <v>0.55000000000000004</v>
      </c>
      <c r="K287" s="47">
        <f t="shared" si="96"/>
        <v>0.55000000000000004</v>
      </c>
      <c r="L287" s="47">
        <f t="shared" si="96"/>
        <v>0.55000000000000004</v>
      </c>
      <c r="M287" s="47">
        <f t="shared" si="96"/>
        <v>0.55000000000000004</v>
      </c>
      <c r="N287" s="47">
        <f t="shared" si="96"/>
        <v>0.55000000000000004</v>
      </c>
      <c r="O287" s="47">
        <f t="shared" si="96"/>
        <v>0.55000000000000004</v>
      </c>
      <c r="P287" s="47">
        <f t="shared" si="96"/>
        <v>0.55000000000000004</v>
      </c>
      <c r="Q287" s="47">
        <f t="shared" si="96"/>
        <v>0</v>
      </c>
      <c r="R287" s="47">
        <f t="shared" si="96"/>
        <v>0</v>
      </c>
      <c r="S287" s="47">
        <f t="shared" si="96"/>
        <v>0</v>
      </c>
      <c r="T287" s="47">
        <f t="shared" si="96"/>
        <v>0</v>
      </c>
      <c r="U287" s="47">
        <f t="shared" si="96"/>
        <v>0</v>
      </c>
      <c r="V287" s="47">
        <f t="shared" si="96"/>
        <v>0</v>
      </c>
      <c r="W287" s="47">
        <f t="shared" si="96"/>
        <v>0</v>
      </c>
      <c r="X287" s="47">
        <f t="shared" si="96"/>
        <v>0</v>
      </c>
      <c r="Y287" s="47">
        <f t="shared" si="96"/>
        <v>0</v>
      </c>
      <c r="Z287" s="47">
        <f t="shared" si="96"/>
        <v>0</v>
      </c>
      <c r="AA287" s="47">
        <f t="shared" si="96"/>
        <v>0</v>
      </c>
      <c r="AB287" s="47">
        <f t="shared" si="96"/>
        <v>0</v>
      </c>
      <c r="AC287" s="47">
        <f t="shared" si="96"/>
        <v>0</v>
      </c>
      <c r="AD287" s="47">
        <f t="shared" si="96"/>
        <v>0</v>
      </c>
    </row>
    <row r="288" spans="1:30" s="134" customFormat="1" outlineLevel="1">
      <c r="A288" s="63" t="str">
        <f>'Expected NPV &amp; Common Data'!A70</f>
        <v>28 Nov 2025 M McKenzie email: Mo concentrate price = 83% of contained Mo.   (varies between 80% and 85%)</v>
      </c>
      <c r="B288" s="63"/>
      <c r="C288" s="63"/>
      <c r="D288" s="264"/>
      <c r="E288" s="264"/>
      <c r="F288" s="264"/>
      <c r="G288" s="264"/>
      <c r="H288" s="264"/>
      <c r="I288" s="264"/>
      <c r="J288" s="264"/>
      <c r="K288" s="264"/>
      <c r="L288" s="264"/>
      <c r="M288" s="264"/>
      <c r="N288" s="264"/>
      <c r="O288" s="264"/>
      <c r="P288" s="264"/>
      <c r="Q288" s="264"/>
      <c r="R288" s="264"/>
      <c r="S288" s="264"/>
      <c r="T288" s="264"/>
      <c r="U288" s="264"/>
      <c r="V288" s="264"/>
      <c r="W288" s="264"/>
      <c r="X288" s="264"/>
      <c r="Y288" s="264"/>
      <c r="Z288" s="264"/>
      <c r="AA288" s="264"/>
      <c r="AB288" s="264"/>
      <c r="AC288" s="264"/>
      <c r="AD288" s="264"/>
    </row>
    <row r="289" spans="1:30" outlineLevel="1">
      <c r="A289" s="247" t="str">
        <f>'Expected NPV &amp; Common Data'!A71</f>
        <v>moly conc - payable</v>
      </c>
      <c r="B289" s="247" t="str">
        <f>'Expected NPV &amp; Common Data'!B71</f>
        <v>% of contained Mo</v>
      </c>
      <c r="C289" s="247"/>
      <c r="D289" s="263">
        <f>'Expected NPV &amp; Common Data'!D71</f>
        <v>0.83</v>
      </c>
      <c r="E289" s="263">
        <f>'Expected NPV &amp; Common Data'!E71</f>
        <v>0.83</v>
      </c>
      <c r="F289" s="263">
        <f>'Expected NPV &amp; Common Data'!F71</f>
        <v>0.83</v>
      </c>
      <c r="G289" s="263">
        <f>'Expected NPV &amp; Common Data'!G71</f>
        <v>0.83</v>
      </c>
      <c r="H289" s="263">
        <f>'Expected NPV &amp; Common Data'!H71</f>
        <v>0.83</v>
      </c>
      <c r="I289" s="263">
        <f>'Expected NPV &amp; Common Data'!I71</f>
        <v>0.83</v>
      </c>
      <c r="J289" s="263">
        <f>'Expected NPV &amp; Common Data'!J71</f>
        <v>0.83</v>
      </c>
      <c r="K289" s="263">
        <f>'Expected NPV &amp; Common Data'!K71</f>
        <v>0.83</v>
      </c>
      <c r="L289" s="263">
        <f>'Expected NPV &amp; Common Data'!L71</f>
        <v>0.83</v>
      </c>
      <c r="M289" s="263">
        <f>'Expected NPV &amp; Common Data'!M71</f>
        <v>0.83</v>
      </c>
      <c r="N289" s="263">
        <f>'Expected NPV &amp; Common Data'!N71</f>
        <v>0.83</v>
      </c>
      <c r="O289" s="263">
        <f>'Expected NPV &amp; Common Data'!O71</f>
        <v>0.83</v>
      </c>
      <c r="P289" s="263">
        <f>'Expected NPV &amp; Common Data'!P71</f>
        <v>0.83</v>
      </c>
      <c r="Q289" s="263">
        <f>'Expected NPV &amp; Common Data'!Q71</f>
        <v>0.83</v>
      </c>
      <c r="R289" s="263">
        <f>'Expected NPV &amp; Common Data'!R71</f>
        <v>0.83</v>
      </c>
      <c r="S289" s="263">
        <f>'Expected NPV &amp; Common Data'!S71</f>
        <v>0.83</v>
      </c>
      <c r="T289" s="263">
        <f>'Expected NPV &amp; Common Data'!T71</f>
        <v>0.83</v>
      </c>
      <c r="U289" s="263">
        <f>'Expected NPV &amp; Common Data'!U71</f>
        <v>0.83</v>
      </c>
      <c r="V289" s="263">
        <f>'Expected NPV &amp; Common Data'!V71</f>
        <v>0.83</v>
      </c>
      <c r="W289" s="263">
        <f>'Expected NPV &amp; Common Data'!W71</f>
        <v>0.83</v>
      </c>
      <c r="X289" s="263">
        <f>'Expected NPV &amp; Common Data'!X71</f>
        <v>0.83</v>
      </c>
      <c r="Y289" s="263">
        <f>'Expected NPV &amp; Common Data'!Y71</f>
        <v>0.83</v>
      </c>
      <c r="Z289" s="263">
        <f>'Expected NPV &amp; Common Data'!Z71</f>
        <v>0.83</v>
      </c>
      <c r="AA289" s="263">
        <f>'Expected NPV &amp; Common Data'!AA71</f>
        <v>0.83</v>
      </c>
      <c r="AB289" s="263">
        <f>'Expected NPV &amp; Common Data'!AB71</f>
        <v>0.83</v>
      </c>
      <c r="AC289" s="263">
        <f>'Expected NPV &amp; Common Data'!AC71</f>
        <v>0.83</v>
      </c>
      <c r="AD289" s="263">
        <f>'Expected NPV &amp; Common Data'!AD71</f>
        <v>0.83</v>
      </c>
    </row>
    <row r="290" spans="1:30" outlineLevel="1">
      <c r="A290" s="45" t="s">
        <v>118</v>
      </c>
      <c r="B290" s="13" t="s">
        <v>63</v>
      </c>
      <c r="C290" s="38"/>
      <c r="D290" s="47">
        <f t="shared" ref="D290:AD290" si="97">D287*D289</f>
        <v>0</v>
      </c>
      <c r="E290" s="47">
        <f t="shared" si="97"/>
        <v>0</v>
      </c>
      <c r="F290" s="47">
        <f t="shared" si="97"/>
        <v>0.45650000000000002</v>
      </c>
      <c r="G290" s="47">
        <f t="shared" si="97"/>
        <v>0.45650000000000002</v>
      </c>
      <c r="H290" s="47">
        <f t="shared" si="97"/>
        <v>0.45650000000000002</v>
      </c>
      <c r="I290" s="47">
        <f t="shared" si="97"/>
        <v>0.45650000000000002</v>
      </c>
      <c r="J290" s="47">
        <f t="shared" si="97"/>
        <v>0.45650000000000002</v>
      </c>
      <c r="K290" s="47">
        <f t="shared" si="97"/>
        <v>0.45650000000000002</v>
      </c>
      <c r="L290" s="47">
        <f t="shared" si="97"/>
        <v>0.45650000000000002</v>
      </c>
      <c r="M290" s="47">
        <f t="shared" si="97"/>
        <v>0.45650000000000002</v>
      </c>
      <c r="N290" s="47">
        <f t="shared" si="97"/>
        <v>0.45650000000000002</v>
      </c>
      <c r="O290" s="47">
        <f t="shared" si="97"/>
        <v>0.45650000000000002</v>
      </c>
      <c r="P290" s="47">
        <f t="shared" si="97"/>
        <v>0.45650000000000002</v>
      </c>
      <c r="Q290" s="47">
        <f t="shared" si="97"/>
        <v>0</v>
      </c>
      <c r="R290" s="47">
        <f t="shared" si="97"/>
        <v>0</v>
      </c>
      <c r="S290" s="47">
        <f t="shared" si="97"/>
        <v>0</v>
      </c>
      <c r="T290" s="47">
        <f t="shared" si="97"/>
        <v>0</v>
      </c>
      <c r="U290" s="47">
        <f t="shared" si="97"/>
        <v>0</v>
      </c>
      <c r="V290" s="47">
        <f t="shared" si="97"/>
        <v>0</v>
      </c>
      <c r="W290" s="47">
        <f t="shared" si="97"/>
        <v>0</v>
      </c>
      <c r="X290" s="47">
        <f t="shared" si="97"/>
        <v>0</v>
      </c>
      <c r="Y290" s="47">
        <f t="shared" si="97"/>
        <v>0</v>
      </c>
      <c r="Z290" s="47">
        <f t="shared" si="97"/>
        <v>0</v>
      </c>
      <c r="AA290" s="47">
        <f t="shared" si="97"/>
        <v>0</v>
      </c>
      <c r="AB290" s="47">
        <f t="shared" si="97"/>
        <v>0</v>
      </c>
      <c r="AC290" s="47">
        <f t="shared" si="97"/>
        <v>0</v>
      </c>
      <c r="AD290" s="47">
        <f t="shared" si="97"/>
        <v>0</v>
      </c>
    </row>
    <row r="291" spans="1:30" outlineLevel="1">
      <c r="A291" s="13" t="str">
        <f>A103</f>
        <v>Moly price forecast - High Case</v>
      </c>
      <c r="B291" s="13" t="str">
        <f>B103</f>
        <v>US$/ lb real</v>
      </c>
      <c r="C291" s="44"/>
      <c r="D291" s="57">
        <f t="shared" ref="D291:AD291" si="98">D103</f>
        <v>20</v>
      </c>
      <c r="E291" s="57">
        <f t="shared" si="98"/>
        <v>20</v>
      </c>
      <c r="F291" s="57">
        <f t="shared" si="98"/>
        <v>20</v>
      </c>
      <c r="G291" s="57">
        <f t="shared" si="98"/>
        <v>20</v>
      </c>
      <c r="H291" s="57">
        <f t="shared" si="98"/>
        <v>20</v>
      </c>
      <c r="I291" s="57">
        <f t="shared" si="98"/>
        <v>20</v>
      </c>
      <c r="J291" s="57">
        <f t="shared" si="98"/>
        <v>20</v>
      </c>
      <c r="K291" s="57">
        <f t="shared" si="98"/>
        <v>20</v>
      </c>
      <c r="L291" s="57">
        <f t="shared" si="98"/>
        <v>20</v>
      </c>
      <c r="M291" s="57">
        <f t="shared" si="98"/>
        <v>20</v>
      </c>
      <c r="N291" s="57">
        <f t="shared" si="98"/>
        <v>20</v>
      </c>
      <c r="O291" s="57">
        <f t="shared" si="98"/>
        <v>20</v>
      </c>
      <c r="P291" s="57">
        <f t="shared" si="98"/>
        <v>20</v>
      </c>
      <c r="Q291" s="57">
        <f t="shared" si="98"/>
        <v>20</v>
      </c>
      <c r="R291" s="57">
        <f t="shared" si="98"/>
        <v>20</v>
      </c>
      <c r="S291" s="57">
        <f t="shared" si="98"/>
        <v>20</v>
      </c>
      <c r="T291" s="57">
        <f t="shared" si="98"/>
        <v>20</v>
      </c>
      <c r="U291" s="57">
        <f t="shared" si="98"/>
        <v>20</v>
      </c>
      <c r="V291" s="57">
        <f t="shared" si="98"/>
        <v>20</v>
      </c>
      <c r="W291" s="57">
        <f t="shared" si="98"/>
        <v>20</v>
      </c>
      <c r="X291" s="57">
        <f t="shared" si="98"/>
        <v>20</v>
      </c>
      <c r="Y291" s="57">
        <f t="shared" si="98"/>
        <v>20</v>
      </c>
      <c r="Z291" s="57">
        <f t="shared" si="98"/>
        <v>20</v>
      </c>
      <c r="AA291" s="57">
        <f t="shared" si="98"/>
        <v>20</v>
      </c>
      <c r="AB291" s="57">
        <f t="shared" si="98"/>
        <v>20</v>
      </c>
      <c r="AC291" s="57">
        <f t="shared" si="98"/>
        <v>20</v>
      </c>
      <c r="AD291" s="57">
        <f t="shared" si="98"/>
        <v>20</v>
      </c>
    </row>
    <row r="292" spans="1:30" s="14" customFormat="1" outlineLevel="1">
      <c r="A292" s="14" t="s">
        <v>120</v>
      </c>
      <c r="B292" s="13" t="s">
        <v>63</v>
      </c>
      <c r="C292" s="44"/>
      <c r="D292" s="48">
        <f t="shared" ref="D292:AD292" si="99">D290*D291*2204.6</f>
        <v>0</v>
      </c>
      <c r="E292" s="48">
        <f t="shared" si="99"/>
        <v>0</v>
      </c>
      <c r="F292" s="48">
        <f t="shared" si="99"/>
        <v>20127.998</v>
      </c>
      <c r="G292" s="48">
        <f t="shared" si="99"/>
        <v>20127.998</v>
      </c>
      <c r="H292" s="48">
        <f t="shared" si="99"/>
        <v>20127.998</v>
      </c>
      <c r="I292" s="48">
        <f t="shared" si="99"/>
        <v>20127.998</v>
      </c>
      <c r="J292" s="48">
        <f t="shared" si="99"/>
        <v>20127.998</v>
      </c>
      <c r="K292" s="48">
        <f t="shared" si="99"/>
        <v>20127.998</v>
      </c>
      <c r="L292" s="48">
        <f t="shared" si="99"/>
        <v>20127.998</v>
      </c>
      <c r="M292" s="48">
        <f t="shared" si="99"/>
        <v>20127.998</v>
      </c>
      <c r="N292" s="48">
        <f t="shared" si="99"/>
        <v>20127.998</v>
      </c>
      <c r="O292" s="48">
        <f t="shared" si="99"/>
        <v>20127.998</v>
      </c>
      <c r="P292" s="48">
        <f t="shared" si="99"/>
        <v>20127.998</v>
      </c>
      <c r="Q292" s="48">
        <f t="shared" si="99"/>
        <v>0</v>
      </c>
      <c r="R292" s="48">
        <f t="shared" si="99"/>
        <v>0</v>
      </c>
      <c r="S292" s="48">
        <f t="shared" si="99"/>
        <v>0</v>
      </c>
      <c r="T292" s="48">
        <f t="shared" si="99"/>
        <v>0</v>
      </c>
      <c r="U292" s="48">
        <f t="shared" si="99"/>
        <v>0</v>
      </c>
      <c r="V292" s="48">
        <f t="shared" si="99"/>
        <v>0</v>
      </c>
      <c r="W292" s="48">
        <f t="shared" si="99"/>
        <v>0</v>
      </c>
      <c r="X292" s="48">
        <f t="shared" si="99"/>
        <v>0</v>
      </c>
      <c r="Y292" s="48">
        <f t="shared" si="99"/>
        <v>0</v>
      </c>
      <c r="Z292" s="48">
        <f t="shared" si="99"/>
        <v>0</v>
      </c>
      <c r="AA292" s="48">
        <f t="shared" si="99"/>
        <v>0</v>
      </c>
      <c r="AB292" s="48">
        <f t="shared" si="99"/>
        <v>0</v>
      </c>
      <c r="AC292" s="48">
        <f t="shared" si="99"/>
        <v>0</v>
      </c>
      <c r="AD292" s="48">
        <f t="shared" si="99"/>
        <v>0</v>
      </c>
    </row>
    <row r="293" spans="1:30" ht="51" customHeight="1">
      <c r="A293" s="23" t="s">
        <v>112</v>
      </c>
      <c r="C293" s="42"/>
      <c r="D293" s="42"/>
      <c r="E293" s="42"/>
      <c r="F293" s="42"/>
      <c r="G293" s="42"/>
      <c r="H293" s="42"/>
      <c r="I293" s="42"/>
      <c r="J293" s="42"/>
      <c r="K293" s="42"/>
      <c r="L293" s="42"/>
      <c r="M293" s="42"/>
      <c r="N293" s="42"/>
      <c r="O293" s="42"/>
      <c r="P293" s="42"/>
      <c r="Q293" s="42"/>
      <c r="R293" s="42"/>
      <c r="S293" s="42"/>
      <c r="T293" s="42"/>
      <c r="U293" s="42"/>
      <c r="V293" s="42"/>
      <c r="W293" s="42"/>
      <c r="X293" s="42"/>
      <c r="Y293" s="42"/>
      <c r="Z293" s="42"/>
      <c r="AA293" s="42"/>
      <c r="AB293" s="42"/>
      <c r="AC293" s="42"/>
      <c r="AD293" s="42"/>
    </row>
    <row r="294" spans="1:30" s="8" customFormat="1" ht="15.5" outlineLevel="1">
      <c r="A294" s="242" t="str">
        <f>'Expected NPV &amp; Common Data'!A$36</f>
        <v>Calendar Year --&gt;</v>
      </c>
      <c r="B294" s="243" t="str">
        <f>'Expected NPV &amp; Common Data'!B$36</f>
        <v>units</v>
      </c>
      <c r="C294" s="244" t="str">
        <f>'Expected NPV &amp; Common Data'!C$36</f>
        <v>Total</v>
      </c>
      <c r="D294" s="245">
        <f>'Expected NPV &amp; Common Data'!D$36</f>
        <v>2027</v>
      </c>
      <c r="E294" s="245">
        <f>'Expected NPV &amp; Common Data'!E$36</f>
        <v>2028</v>
      </c>
      <c r="F294" s="245">
        <f>'Expected NPV &amp; Common Data'!F$36</f>
        <v>2029</v>
      </c>
      <c r="G294" s="245">
        <f>'Expected NPV &amp; Common Data'!G$36</f>
        <v>2030</v>
      </c>
      <c r="H294" s="245">
        <f>'Expected NPV &amp; Common Data'!H$36</f>
        <v>2031</v>
      </c>
      <c r="I294" s="245">
        <f>'Expected NPV &amp; Common Data'!I$36</f>
        <v>2032</v>
      </c>
      <c r="J294" s="245">
        <f>'Expected NPV &amp; Common Data'!J$36</f>
        <v>2033</v>
      </c>
      <c r="K294" s="245">
        <f>'Expected NPV &amp; Common Data'!K$36</f>
        <v>2034</v>
      </c>
      <c r="L294" s="245">
        <f>'Expected NPV &amp; Common Data'!L$36</f>
        <v>2035</v>
      </c>
      <c r="M294" s="245">
        <f>'Expected NPV &amp; Common Data'!M$36</f>
        <v>2036</v>
      </c>
      <c r="N294" s="245">
        <f>'Expected NPV &amp; Common Data'!N$36</f>
        <v>2037</v>
      </c>
      <c r="O294" s="245">
        <f>'Expected NPV &amp; Common Data'!O$36</f>
        <v>2038</v>
      </c>
      <c r="P294" s="245">
        <f>'Expected NPV &amp; Common Data'!P$36</f>
        <v>2039</v>
      </c>
      <c r="Q294" s="245">
        <f>'Expected NPV &amp; Common Data'!Q$36</f>
        <v>2040</v>
      </c>
      <c r="R294" s="245">
        <f>'Expected NPV &amp; Common Data'!R$36</f>
        <v>2041</v>
      </c>
      <c r="S294" s="245">
        <f>'Expected NPV &amp; Common Data'!S$36</f>
        <v>2042</v>
      </c>
      <c r="T294" s="245">
        <f>'Expected NPV &amp; Common Data'!T$36</f>
        <v>2043</v>
      </c>
      <c r="U294" s="245">
        <f>'Expected NPV &amp; Common Data'!U$36</f>
        <v>2044</v>
      </c>
      <c r="V294" s="245">
        <f>'Expected NPV &amp; Common Data'!V$36</f>
        <v>2045</v>
      </c>
      <c r="W294" s="245">
        <f>'Expected NPV &amp; Common Data'!W$36</f>
        <v>2046</v>
      </c>
      <c r="X294" s="245">
        <f>'Expected NPV &amp; Common Data'!X$36</f>
        <v>2047</v>
      </c>
      <c r="Y294" s="245">
        <f>'Expected NPV &amp; Common Data'!Y$36</f>
        <v>2048</v>
      </c>
      <c r="Z294" s="245">
        <f>'Expected NPV &amp; Common Data'!Z$36</f>
        <v>2049</v>
      </c>
      <c r="AA294" s="245">
        <f>'Expected NPV &amp; Common Data'!AA$36</f>
        <v>2050</v>
      </c>
      <c r="AB294" s="245">
        <f>'Expected NPV &amp; Common Data'!AB$36</f>
        <v>2051</v>
      </c>
      <c r="AC294" s="245">
        <f>'Expected NPV &amp; Common Data'!AC$36</f>
        <v>2052</v>
      </c>
      <c r="AD294" s="245">
        <f>'Expected NPV &amp; Common Data'!AD$36</f>
        <v>2053</v>
      </c>
    </row>
    <row r="295" spans="1:30" outlineLevel="1">
      <c r="A295" s="50" t="s">
        <v>114</v>
      </c>
      <c r="D295" s="15"/>
      <c r="E295" s="15"/>
      <c r="F295" s="15"/>
      <c r="G295" s="15"/>
      <c r="H295" s="15"/>
      <c r="I295" s="15"/>
      <c r="J295" s="15"/>
      <c r="K295" s="15"/>
      <c r="L295" s="15"/>
      <c r="M295" s="15"/>
      <c r="N295" s="15"/>
      <c r="O295" s="15"/>
      <c r="P295" s="15"/>
      <c r="Q295" s="15"/>
      <c r="R295" s="15"/>
      <c r="S295" s="15"/>
      <c r="T295" s="15"/>
      <c r="U295" s="15"/>
      <c r="V295" s="15"/>
      <c r="W295" s="15"/>
      <c r="X295" s="15"/>
      <c r="Y295" s="15"/>
      <c r="Z295" s="15"/>
      <c r="AA295" s="15"/>
      <c r="AB295" s="15"/>
      <c r="AC295" s="15"/>
      <c r="AD295" s="15"/>
    </row>
    <row r="296" spans="1:30" outlineLevel="1">
      <c r="A296" s="13" t="str">
        <f>A192</f>
        <v>copper concentrate sold</v>
      </c>
      <c r="B296" s="13" t="str">
        <f>B192</f>
        <v>000 tonnes DRY</v>
      </c>
      <c r="C296" s="44">
        <f>SUM(D296:AD296)</f>
        <v>3079.4322580645166</v>
      </c>
      <c r="D296" s="42">
        <f t="shared" ref="D296:AD296" si="100">D192</f>
        <v>0</v>
      </c>
      <c r="E296" s="42">
        <f t="shared" si="100"/>
        <v>0</v>
      </c>
      <c r="F296" s="42">
        <f t="shared" si="100"/>
        <v>114.40839854934146</v>
      </c>
      <c r="G296" s="42">
        <f t="shared" si="100"/>
        <v>204.22584462683716</v>
      </c>
      <c r="H296" s="42">
        <f t="shared" si="100"/>
        <v>218.01290322580644</v>
      </c>
      <c r="I296" s="42">
        <f t="shared" si="100"/>
        <v>218.01290322580644</v>
      </c>
      <c r="J296" s="42">
        <f t="shared" si="100"/>
        <v>225.81347585417063</v>
      </c>
      <c r="K296" s="42">
        <f t="shared" si="100"/>
        <v>207.29467455621301</v>
      </c>
      <c r="L296" s="42">
        <f t="shared" si="100"/>
        <v>206.03825157472801</v>
      </c>
      <c r="M296" s="42">
        <f t="shared" si="100"/>
        <v>206.65806451612906</v>
      </c>
      <c r="N296" s="42">
        <f t="shared" si="100"/>
        <v>206.65806451612906</v>
      </c>
      <c r="O296" s="42">
        <f t="shared" si="100"/>
        <v>206.65806451612906</v>
      </c>
      <c r="P296" s="42">
        <f t="shared" si="100"/>
        <v>207.30811223515937</v>
      </c>
      <c r="Q296" s="42">
        <f t="shared" si="100"/>
        <v>201.16037411719793</v>
      </c>
      <c r="R296" s="42">
        <f t="shared" si="100"/>
        <v>199.84516129032258</v>
      </c>
      <c r="S296" s="42">
        <f t="shared" si="100"/>
        <v>199.84516129032258</v>
      </c>
      <c r="T296" s="42">
        <f t="shared" si="100"/>
        <v>257.49280397022335</v>
      </c>
      <c r="U296" s="42">
        <f t="shared" si="100"/>
        <v>0</v>
      </c>
      <c r="V296" s="42">
        <f t="shared" si="100"/>
        <v>0</v>
      </c>
      <c r="W296" s="42">
        <f t="shared" si="100"/>
        <v>0</v>
      </c>
      <c r="X296" s="42">
        <f t="shared" si="100"/>
        <v>0</v>
      </c>
      <c r="Y296" s="42">
        <f t="shared" si="100"/>
        <v>0</v>
      </c>
      <c r="Z296" s="42">
        <f t="shared" si="100"/>
        <v>0</v>
      </c>
      <c r="AA296" s="42">
        <f t="shared" si="100"/>
        <v>0</v>
      </c>
      <c r="AB296" s="42">
        <f t="shared" si="100"/>
        <v>0</v>
      </c>
      <c r="AC296" s="42">
        <f t="shared" si="100"/>
        <v>0</v>
      </c>
      <c r="AD296" s="42">
        <f t="shared" si="100"/>
        <v>0</v>
      </c>
    </row>
    <row r="297" spans="1:30" outlineLevel="1">
      <c r="A297" s="13" t="str">
        <f>A280</f>
        <v>Copper concentrate - net price received</v>
      </c>
      <c r="B297" s="13" t="str">
        <f>B280</f>
        <v>US$/ tonne concentrate  Real</v>
      </c>
      <c r="C297" s="42"/>
      <c r="D297" s="42">
        <f t="shared" ref="D297:AD297" si="101">D280</f>
        <v>0</v>
      </c>
      <c r="E297" s="42">
        <f t="shared" si="101"/>
        <v>0</v>
      </c>
      <c r="F297" s="42">
        <f t="shared" si="101"/>
        <v>3657.5164706136698</v>
      </c>
      <c r="G297" s="42">
        <f t="shared" si="101"/>
        <v>3657.5164706136693</v>
      </c>
      <c r="H297" s="42">
        <f t="shared" si="101"/>
        <v>3657.5164706136693</v>
      </c>
      <c r="I297" s="42">
        <f t="shared" si="101"/>
        <v>3657.5164706136693</v>
      </c>
      <c r="J297" s="42">
        <f t="shared" si="101"/>
        <v>3657.5164706136693</v>
      </c>
      <c r="K297" s="42">
        <f t="shared" si="101"/>
        <v>3631.1438897254056</v>
      </c>
      <c r="L297" s="42">
        <f t="shared" si="101"/>
        <v>3612.8065124356267</v>
      </c>
      <c r="M297" s="42">
        <f t="shared" si="101"/>
        <v>3612.8065124356267</v>
      </c>
      <c r="N297" s="42">
        <f t="shared" si="101"/>
        <v>3612.8065124356267</v>
      </c>
      <c r="O297" s="42">
        <f t="shared" si="101"/>
        <v>3612.8065124356267</v>
      </c>
      <c r="P297" s="42">
        <f t="shared" si="101"/>
        <v>3615.0447921783925</v>
      </c>
      <c r="Q297" s="42">
        <f t="shared" si="101"/>
        <v>3592.6704730830984</v>
      </c>
      <c r="R297" s="42">
        <f t="shared" si="101"/>
        <v>3592.6704730830984</v>
      </c>
      <c r="S297" s="42">
        <f t="shared" si="101"/>
        <v>3592.6704730830984</v>
      </c>
      <c r="T297" s="42">
        <f t="shared" si="101"/>
        <v>3592.6704730830984</v>
      </c>
      <c r="U297" s="42">
        <f t="shared" si="101"/>
        <v>0</v>
      </c>
      <c r="V297" s="42">
        <f t="shared" si="101"/>
        <v>0</v>
      </c>
      <c r="W297" s="42">
        <f t="shared" si="101"/>
        <v>0</v>
      </c>
      <c r="X297" s="42">
        <f t="shared" si="101"/>
        <v>0</v>
      </c>
      <c r="Y297" s="42">
        <f t="shared" si="101"/>
        <v>0</v>
      </c>
      <c r="Z297" s="42">
        <f t="shared" si="101"/>
        <v>0</v>
      </c>
      <c r="AA297" s="42">
        <f t="shared" si="101"/>
        <v>0</v>
      </c>
      <c r="AB297" s="42">
        <f t="shared" si="101"/>
        <v>0</v>
      </c>
      <c r="AC297" s="42">
        <f t="shared" si="101"/>
        <v>0</v>
      </c>
      <c r="AD297" s="42">
        <f t="shared" si="101"/>
        <v>0</v>
      </c>
    </row>
    <row r="298" spans="1:30" s="14" customFormat="1" outlineLevel="1">
      <c r="A298" s="14" t="s">
        <v>114</v>
      </c>
      <c r="B298" s="13" t="s">
        <v>82</v>
      </c>
      <c r="C298" s="44">
        <f>SUM(D298:AD298)</f>
        <v>11156.211462556998</v>
      </c>
      <c r="D298" s="44">
        <f t="shared" ref="D298:AD298" si="102">D280*D192/1000</f>
        <v>0</v>
      </c>
      <c r="E298" s="44">
        <f t="shared" si="102"/>
        <v>0</v>
      </c>
      <c r="F298" s="44">
        <f t="shared" si="102"/>
        <v>418.45060207074943</v>
      </c>
      <c r="G298" s="44">
        <f t="shared" si="102"/>
        <v>746.95939044764509</v>
      </c>
      <c r="H298" s="44">
        <f t="shared" si="102"/>
        <v>797.38578435469105</v>
      </c>
      <c r="I298" s="44">
        <f t="shared" si="102"/>
        <v>797.38578435469105</v>
      </c>
      <c r="J298" s="44">
        <f t="shared" si="102"/>
        <v>825.91650722315114</v>
      </c>
      <c r="K298" s="44">
        <f t="shared" si="102"/>
        <v>752.71679088740939</v>
      </c>
      <c r="L298" s="44">
        <f t="shared" si="102"/>
        <v>744.3763371000274</v>
      </c>
      <c r="M298" s="44">
        <f t="shared" si="102"/>
        <v>746.61560133121293</v>
      </c>
      <c r="N298" s="44">
        <f t="shared" si="102"/>
        <v>746.61560133121293</v>
      </c>
      <c r="O298" s="44">
        <f t="shared" si="102"/>
        <v>746.61560133121293</v>
      </c>
      <c r="P298" s="44">
        <f t="shared" si="102"/>
        <v>749.42811151204648</v>
      </c>
      <c r="Q298" s="44">
        <f t="shared" si="102"/>
        <v>722.70293644520655</v>
      </c>
      <c r="R298" s="44">
        <f t="shared" si="102"/>
        <v>717.97781015627129</v>
      </c>
      <c r="S298" s="44">
        <f t="shared" si="102"/>
        <v>717.97781015627129</v>
      </c>
      <c r="T298" s="44">
        <f t="shared" si="102"/>
        <v>925.08679385519588</v>
      </c>
      <c r="U298" s="44">
        <f t="shared" si="102"/>
        <v>0</v>
      </c>
      <c r="V298" s="44">
        <f t="shared" si="102"/>
        <v>0</v>
      </c>
      <c r="W298" s="44">
        <f t="shared" si="102"/>
        <v>0</v>
      </c>
      <c r="X298" s="44">
        <f t="shared" si="102"/>
        <v>0</v>
      </c>
      <c r="Y298" s="44">
        <f t="shared" si="102"/>
        <v>0</v>
      </c>
      <c r="Z298" s="44">
        <f t="shared" si="102"/>
        <v>0</v>
      </c>
      <c r="AA298" s="44">
        <f t="shared" si="102"/>
        <v>0</v>
      </c>
      <c r="AB298" s="44">
        <f t="shared" si="102"/>
        <v>0</v>
      </c>
      <c r="AC298" s="44">
        <f t="shared" si="102"/>
        <v>0</v>
      </c>
      <c r="AD298" s="44">
        <f t="shared" si="102"/>
        <v>0</v>
      </c>
    </row>
    <row r="299" spans="1:30" s="134" customFormat="1" outlineLevel="1">
      <c r="A299" s="139"/>
      <c r="C299" s="64"/>
      <c r="D299" s="64"/>
      <c r="E299" s="64"/>
      <c r="F299" s="64"/>
      <c r="G299" s="64"/>
      <c r="H299" s="64"/>
      <c r="I299" s="64"/>
      <c r="J299" s="64"/>
      <c r="K299" s="64"/>
      <c r="L299" s="64"/>
      <c r="M299" s="64"/>
      <c r="N299" s="64"/>
      <c r="O299" s="64"/>
      <c r="P299" s="64"/>
      <c r="Q299" s="64"/>
      <c r="R299" s="64"/>
      <c r="S299" s="64"/>
      <c r="T299" s="64"/>
      <c r="U299" s="64"/>
      <c r="V299" s="64"/>
      <c r="W299" s="64"/>
      <c r="X299" s="64"/>
      <c r="Y299" s="64"/>
      <c r="Z299" s="64"/>
      <c r="AA299" s="64"/>
      <c r="AB299" s="64"/>
      <c r="AC299" s="64"/>
      <c r="AD299" s="64"/>
    </row>
    <row r="300" spans="1:30" outlineLevel="1">
      <c r="A300" s="50" t="s">
        <v>115</v>
      </c>
      <c r="D300" s="15"/>
      <c r="E300" s="15"/>
      <c r="F300" s="15"/>
      <c r="G300" s="15"/>
      <c r="H300" s="15"/>
      <c r="I300" s="15"/>
      <c r="J300" s="15"/>
      <c r="K300" s="15"/>
      <c r="L300" s="15"/>
      <c r="M300" s="15"/>
      <c r="N300" s="15"/>
      <c r="O300" s="15"/>
      <c r="P300" s="15"/>
      <c r="Q300" s="15"/>
      <c r="R300" s="15"/>
      <c r="S300" s="15"/>
      <c r="T300" s="15"/>
      <c r="U300" s="15"/>
      <c r="V300" s="15"/>
      <c r="W300" s="15"/>
      <c r="X300" s="15"/>
      <c r="Y300" s="15"/>
      <c r="Z300" s="15"/>
      <c r="AA300" s="15"/>
      <c r="AB300" s="15"/>
      <c r="AC300" s="15"/>
      <c r="AD300" s="15"/>
    </row>
    <row r="301" spans="1:30" outlineLevel="1">
      <c r="A301" s="13" t="str">
        <f t="shared" ref="A301:AD301" si="103">A201</f>
        <v>moly concentrate sold</v>
      </c>
      <c r="B301" s="13" t="str">
        <f t="shared" si="103"/>
        <v>000 tonnes DRY</v>
      </c>
      <c r="C301" s="66">
        <f t="shared" si="103"/>
        <v>66.436363636363623</v>
      </c>
      <c r="D301" s="42">
        <f t="shared" si="103"/>
        <v>0</v>
      </c>
      <c r="E301" s="42">
        <f t="shared" si="103"/>
        <v>0</v>
      </c>
      <c r="F301" s="42">
        <f t="shared" si="103"/>
        <v>4.4733727810650876</v>
      </c>
      <c r="G301" s="42">
        <f t="shared" si="103"/>
        <v>8.3909628832705749</v>
      </c>
      <c r="H301" s="42">
        <f t="shared" si="103"/>
        <v>9.1636363636363622</v>
      </c>
      <c r="I301" s="42">
        <f t="shared" si="103"/>
        <v>9.1636363636363622</v>
      </c>
      <c r="J301" s="42">
        <f t="shared" si="103"/>
        <v>9.4686390532544369</v>
      </c>
      <c r="K301" s="42">
        <f t="shared" si="103"/>
        <v>6.8151156535771911</v>
      </c>
      <c r="L301" s="42">
        <f t="shared" si="103"/>
        <v>4.026035502958579</v>
      </c>
      <c r="M301" s="42">
        <f t="shared" si="103"/>
        <v>3.4363636363636361</v>
      </c>
      <c r="N301" s="42">
        <f t="shared" si="103"/>
        <v>3.4363636363636361</v>
      </c>
      <c r="O301" s="42">
        <f t="shared" si="103"/>
        <v>3.4363636363636361</v>
      </c>
      <c r="P301" s="42">
        <f t="shared" si="103"/>
        <v>4.6258741258741258</v>
      </c>
      <c r="Q301" s="42">
        <f t="shared" si="103"/>
        <v>0</v>
      </c>
      <c r="R301" s="42">
        <f t="shared" si="103"/>
        <v>0</v>
      </c>
      <c r="S301" s="42">
        <f t="shared" si="103"/>
        <v>0</v>
      </c>
      <c r="T301" s="42">
        <f t="shared" si="103"/>
        <v>0</v>
      </c>
      <c r="U301" s="42">
        <f t="shared" si="103"/>
        <v>0</v>
      </c>
      <c r="V301" s="42">
        <f t="shared" si="103"/>
        <v>0</v>
      </c>
      <c r="W301" s="42">
        <f t="shared" si="103"/>
        <v>0</v>
      </c>
      <c r="X301" s="42">
        <f t="shared" si="103"/>
        <v>0</v>
      </c>
      <c r="Y301" s="42">
        <f t="shared" si="103"/>
        <v>0</v>
      </c>
      <c r="Z301" s="42">
        <f t="shared" si="103"/>
        <v>0</v>
      </c>
      <c r="AA301" s="42">
        <f t="shared" si="103"/>
        <v>0</v>
      </c>
      <c r="AB301" s="42">
        <f t="shared" si="103"/>
        <v>0</v>
      </c>
      <c r="AC301" s="42">
        <f t="shared" si="103"/>
        <v>0</v>
      </c>
      <c r="AD301" s="42">
        <f t="shared" si="103"/>
        <v>0</v>
      </c>
    </row>
    <row r="302" spans="1:30" outlineLevel="1">
      <c r="A302" s="13" t="str">
        <f>A292</f>
        <v>Moly concentrate - net price received</v>
      </c>
      <c r="B302" s="13" t="str">
        <f>B292</f>
        <v>US$/ tonne concentrate  Real</v>
      </c>
      <c r="C302" s="42"/>
      <c r="D302" s="42">
        <f t="shared" ref="D302:AD302" si="104">D292</f>
        <v>0</v>
      </c>
      <c r="E302" s="42">
        <f t="shared" si="104"/>
        <v>0</v>
      </c>
      <c r="F302" s="42">
        <f t="shared" si="104"/>
        <v>20127.998</v>
      </c>
      <c r="G302" s="42">
        <f t="shared" si="104"/>
        <v>20127.998</v>
      </c>
      <c r="H302" s="42">
        <f t="shared" si="104"/>
        <v>20127.998</v>
      </c>
      <c r="I302" s="42">
        <f t="shared" si="104"/>
        <v>20127.998</v>
      </c>
      <c r="J302" s="42">
        <f t="shared" si="104"/>
        <v>20127.998</v>
      </c>
      <c r="K302" s="42">
        <f t="shared" si="104"/>
        <v>20127.998</v>
      </c>
      <c r="L302" s="42">
        <f t="shared" si="104"/>
        <v>20127.998</v>
      </c>
      <c r="M302" s="42">
        <f t="shared" si="104"/>
        <v>20127.998</v>
      </c>
      <c r="N302" s="42">
        <f t="shared" si="104"/>
        <v>20127.998</v>
      </c>
      <c r="O302" s="42">
        <f t="shared" si="104"/>
        <v>20127.998</v>
      </c>
      <c r="P302" s="42">
        <f t="shared" si="104"/>
        <v>20127.998</v>
      </c>
      <c r="Q302" s="42">
        <f t="shared" si="104"/>
        <v>0</v>
      </c>
      <c r="R302" s="42">
        <f t="shared" si="104"/>
        <v>0</v>
      </c>
      <c r="S302" s="42">
        <f t="shared" si="104"/>
        <v>0</v>
      </c>
      <c r="T302" s="42">
        <f t="shared" si="104"/>
        <v>0</v>
      </c>
      <c r="U302" s="42">
        <f t="shared" si="104"/>
        <v>0</v>
      </c>
      <c r="V302" s="42">
        <f t="shared" si="104"/>
        <v>0</v>
      </c>
      <c r="W302" s="42">
        <f t="shared" si="104"/>
        <v>0</v>
      </c>
      <c r="X302" s="42">
        <f t="shared" si="104"/>
        <v>0</v>
      </c>
      <c r="Y302" s="42">
        <f t="shared" si="104"/>
        <v>0</v>
      </c>
      <c r="Z302" s="42">
        <f t="shared" si="104"/>
        <v>0</v>
      </c>
      <c r="AA302" s="42">
        <f t="shared" si="104"/>
        <v>0</v>
      </c>
      <c r="AB302" s="42">
        <f t="shared" si="104"/>
        <v>0</v>
      </c>
      <c r="AC302" s="42">
        <f t="shared" si="104"/>
        <v>0</v>
      </c>
      <c r="AD302" s="42">
        <f t="shared" si="104"/>
        <v>0</v>
      </c>
    </row>
    <row r="303" spans="1:30" s="14" customFormat="1" outlineLevel="1">
      <c r="A303" s="14" t="s">
        <v>115</v>
      </c>
      <c r="B303" s="13" t="s">
        <v>82</v>
      </c>
      <c r="C303" s="44">
        <f>SUM(D303:AD303)</f>
        <v>1337.2309943999996</v>
      </c>
      <c r="D303" s="44">
        <f t="shared" ref="D303:AD303" si="105">D201*D292/1000</f>
        <v>0</v>
      </c>
      <c r="E303" s="44">
        <f t="shared" si="105"/>
        <v>0</v>
      </c>
      <c r="F303" s="44">
        <f t="shared" si="105"/>
        <v>90.040038390532516</v>
      </c>
      <c r="G303" s="44">
        <f t="shared" si="105"/>
        <v>168.89328413254435</v>
      </c>
      <c r="H303" s="44">
        <f t="shared" si="105"/>
        <v>184.44565439999997</v>
      </c>
      <c r="I303" s="44">
        <f t="shared" si="105"/>
        <v>184.44565439999997</v>
      </c>
      <c r="J303" s="44">
        <f t="shared" si="105"/>
        <v>190.58474792662719</v>
      </c>
      <c r="K303" s="44">
        <f t="shared" si="105"/>
        <v>137.17463424497041</v>
      </c>
      <c r="L303" s="44">
        <f t="shared" si="105"/>
        <v>81.036034551479275</v>
      </c>
      <c r="M303" s="44">
        <f t="shared" si="105"/>
        <v>69.167120400000002</v>
      </c>
      <c r="N303" s="44">
        <f t="shared" si="105"/>
        <v>69.167120400000002</v>
      </c>
      <c r="O303" s="44">
        <f t="shared" si="105"/>
        <v>69.167120400000002</v>
      </c>
      <c r="P303" s="44">
        <f t="shared" si="105"/>
        <v>93.109585153846155</v>
      </c>
      <c r="Q303" s="44">
        <f t="shared" si="105"/>
        <v>0</v>
      </c>
      <c r="R303" s="44">
        <f t="shared" si="105"/>
        <v>0</v>
      </c>
      <c r="S303" s="44">
        <f t="shared" si="105"/>
        <v>0</v>
      </c>
      <c r="T303" s="44">
        <f t="shared" si="105"/>
        <v>0</v>
      </c>
      <c r="U303" s="44">
        <f t="shared" si="105"/>
        <v>0</v>
      </c>
      <c r="V303" s="44">
        <f t="shared" si="105"/>
        <v>0</v>
      </c>
      <c r="W303" s="44">
        <f t="shared" si="105"/>
        <v>0</v>
      </c>
      <c r="X303" s="44">
        <f t="shared" si="105"/>
        <v>0</v>
      </c>
      <c r="Y303" s="44">
        <f t="shared" si="105"/>
        <v>0</v>
      </c>
      <c r="Z303" s="44">
        <f t="shared" si="105"/>
        <v>0</v>
      </c>
      <c r="AA303" s="44">
        <f t="shared" si="105"/>
        <v>0</v>
      </c>
      <c r="AB303" s="44">
        <f t="shared" si="105"/>
        <v>0</v>
      </c>
      <c r="AC303" s="44">
        <f t="shared" si="105"/>
        <v>0</v>
      </c>
      <c r="AD303" s="44">
        <f t="shared" si="105"/>
        <v>0</v>
      </c>
    </row>
    <row r="304" spans="1:30" s="134" customFormat="1" outlineLevel="1">
      <c r="A304" s="139"/>
      <c r="C304" s="64"/>
      <c r="D304" s="64"/>
      <c r="E304" s="64"/>
      <c r="F304" s="64"/>
      <c r="G304" s="64"/>
      <c r="H304" s="64"/>
      <c r="I304" s="64"/>
      <c r="J304" s="64"/>
      <c r="K304" s="64"/>
      <c r="L304" s="64"/>
      <c r="M304" s="64"/>
      <c r="N304" s="64"/>
      <c r="O304" s="64"/>
      <c r="P304" s="64"/>
      <c r="Q304" s="64"/>
      <c r="R304" s="64"/>
      <c r="S304" s="64"/>
      <c r="T304" s="64"/>
      <c r="U304" s="64"/>
      <c r="V304" s="64"/>
      <c r="W304" s="64"/>
      <c r="X304" s="64"/>
      <c r="Y304" s="64"/>
      <c r="Z304" s="64"/>
      <c r="AA304" s="64"/>
      <c r="AB304" s="64"/>
      <c r="AC304" s="64"/>
      <c r="AD304" s="64"/>
    </row>
    <row r="305" spans="1:30" s="65" customFormat="1" outlineLevel="1">
      <c r="A305" s="134" t="s">
        <v>548</v>
      </c>
      <c r="B305" s="52"/>
      <c r="C305" s="54"/>
      <c r="D305" s="54"/>
      <c r="E305" s="54"/>
      <c r="F305" s="54"/>
      <c r="G305" s="54"/>
      <c r="H305" s="54"/>
      <c r="I305" s="54"/>
      <c r="J305" s="54"/>
      <c r="K305" s="54"/>
      <c r="L305" s="54"/>
      <c r="M305" s="54"/>
      <c r="N305" s="54"/>
      <c r="O305" s="54"/>
      <c r="P305" s="54"/>
      <c r="Q305" s="54"/>
      <c r="R305" s="54"/>
      <c r="S305" s="54"/>
      <c r="T305" s="54"/>
      <c r="U305" s="54"/>
      <c r="V305" s="54"/>
      <c r="W305" s="54"/>
      <c r="X305" s="54"/>
      <c r="Y305" s="54"/>
      <c r="Z305" s="54"/>
      <c r="AA305" s="54"/>
      <c r="AB305" s="54"/>
      <c r="AC305" s="54"/>
      <c r="AD305" s="54"/>
    </row>
    <row r="306" spans="1:30" s="18" customFormat="1" ht="30.65" customHeight="1" outlineLevel="1">
      <c r="A306" s="28" t="s">
        <v>116</v>
      </c>
      <c r="B306" s="18" t="s">
        <v>82</v>
      </c>
      <c r="C306" s="29">
        <f>SUM(D306:AD306)</f>
        <v>12493.442456956996</v>
      </c>
      <c r="D306" s="29">
        <f t="shared" ref="D306:AD306" si="106">D298+D303</f>
        <v>0</v>
      </c>
      <c r="E306" s="29">
        <f t="shared" si="106"/>
        <v>0</v>
      </c>
      <c r="F306" s="29">
        <f t="shared" si="106"/>
        <v>508.49064046128194</v>
      </c>
      <c r="G306" s="29">
        <f t="shared" si="106"/>
        <v>915.85267458018939</v>
      </c>
      <c r="H306" s="29">
        <f t="shared" si="106"/>
        <v>981.83143875469102</v>
      </c>
      <c r="I306" s="29">
        <f t="shared" si="106"/>
        <v>981.83143875469102</v>
      </c>
      <c r="J306" s="29">
        <f t="shared" si="106"/>
        <v>1016.5012551497783</v>
      </c>
      <c r="K306" s="29">
        <f t="shared" si="106"/>
        <v>889.89142513237982</v>
      </c>
      <c r="L306" s="29">
        <f t="shared" si="106"/>
        <v>825.41237165150665</v>
      </c>
      <c r="M306" s="29">
        <f t="shared" si="106"/>
        <v>815.78272173121297</v>
      </c>
      <c r="N306" s="29">
        <f t="shared" si="106"/>
        <v>815.78272173121297</v>
      </c>
      <c r="O306" s="29">
        <f t="shared" si="106"/>
        <v>815.78272173121297</v>
      </c>
      <c r="P306" s="29">
        <f t="shared" si="106"/>
        <v>842.53769666589267</v>
      </c>
      <c r="Q306" s="29">
        <f t="shared" si="106"/>
        <v>722.70293644520655</v>
      </c>
      <c r="R306" s="29">
        <f t="shared" si="106"/>
        <v>717.97781015627129</v>
      </c>
      <c r="S306" s="29">
        <f t="shared" si="106"/>
        <v>717.97781015627129</v>
      </c>
      <c r="T306" s="29">
        <f t="shared" si="106"/>
        <v>925.08679385519588</v>
      </c>
      <c r="U306" s="29">
        <f t="shared" si="106"/>
        <v>0</v>
      </c>
      <c r="V306" s="29">
        <f t="shared" si="106"/>
        <v>0</v>
      </c>
      <c r="W306" s="29">
        <f t="shared" si="106"/>
        <v>0</v>
      </c>
      <c r="X306" s="29">
        <f t="shared" si="106"/>
        <v>0</v>
      </c>
      <c r="Y306" s="29">
        <f t="shared" si="106"/>
        <v>0</v>
      </c>
      <c r="Z306" s="29">
        <f t="shared" si="106"/>
        <v>0</v>
      </c>
      <c r="AA306" s="29">
        <f t="shared" si="106"/>
        <v>0</v>
      </c>
      <c r="AB306" s="29">
        <f t="shared" si="106"/>
        <v>0</v>
      </c>
      <c r="AC306" s="29">
        <f t="shared" si="106"/>
        <v>0</v>
      </c>
      <c r="AD306" s="29">
        <f t="shared" si="106"/>
        <v>0</v>
      </c>
    </row>
    <row r="307" spans="1:30" outlineLevel="1">
      <c r="A307" s="50" t="s">
        <v>9</v>
      </c>
      <c r="D307" s="15"/>
      <c r="E307" s="15"/>
      <c r="F307" s="15"/>
      <c r="G307" s="15"/>
      <c r="H307" s="15"/>
      <c r="I307" s="15"/>
      <c r="J307" s="15"/>
      <c r="K307" s="15"/>
      <c r="L307" s="15"/>
      <c r="M307" s="15"/>
      <c r="N307" s="15"/>
      <c r="O307" s="15"/>
      <c r="P307" s="15"/>
      <c r="Q307" s="15"/>
      <c r="R307" s="15"/>
      <c r="S307" s="15"/>
      <c r="T307" s="15"/>
      <c r="U307" s="15"/>
      <c r="V307" s="15"/>
      <c r="W307" s="15"/>
      <c r="X307" s="15"/>
      <c r="Y307" s="15"/>
      <c r="Z307" s="15"/>
      <c r="AA307" s="15"/>
      <c r="AB307" s="15"/>
      <c r="AC307" s="15"/>
      <c r="AD307" s="15"/>
    </row>
    <row r="308" spans="1:30" outlineLevel="1">
      <c r="A308" s="134" t="s">
        <v>549</v>
      </c>
      <c r="C308" s="38"/>
    </row>
    <row r="309" spans="1:30" ht="14.4" customHeight="1" outlineLevel="1" thickBot="1">
      <c r="A309" s="214" t="s">
        <v>9</v>
      </c>
      <c r="B309" s="214" t="s">
        <v>10</v>
      </c>
      <c r="C309" s="57"/>
      <c r="D309" s="219">
        <v>30</v>
      </c>
      <c r="E309" s="219">
        <f t="shared" ref="E309:AD309" si="107">D309</f>
        <v>30</v>
      </c>
      <c r="F309" s="219">
        <f t="shared" si="107"/>
        <v>30</v>
      </c>
      <c r="G309" s="219">
        <f t="shared" si="107"/>
        <v>30</v>
      </c>
      <c r="H309" s="219">
        <f t="shared" si="107"/>
        <v>30</v>
      </c>
      <c r="I309" s="219">
        <f t="shared" si="107"/>
        <v>30</v>
      </c>
      <c r="J309" s="219">
        <f t="shared" si="107"/>
        <v>30</v>
      </c>
      <c r="K309" s="219">
        <f t="shared" si="107"/>
        <v>30</v>
      </c>
      <c r="L309" s="219">
        <f t="shared" si="107"/>
        <v>30</v>
      </c>
      <c r="M309" s="219">
        <f t="shared" si="107"/>
        <v>30</v>
      </c>
      <c r="N309" s="219">
        <f t="shared" si="107"/>
        <v>30</v>
      </c>
      <c r="O309" s="219">
        <f t="shared" si="107"/>
        <v>30</v>
      </c>
      <c r="P309" s="219">
        <f t="shared" si="107"/>
        <v>30</v>
      </c>
      <c r="Q309" s="219">
        <f t="shared" si="107"/>
        <v>30</v>
      </c>
      <c r="R309" s="219">
        <f t="shared" si="107"/>
        <v>30</v>
      </c>
      <c r="S309" s="219">
        <f t="shared" si="107"/>
        <v>30</v>
      </c>
      <c r="T309" s="219">
        <f t="shared" si="107"/>
        <v>30</v>
      </c>
      <c r="U309" s="219">
        <f t="shared" si="107"/>
        <v>30</v>
      </c>
      <c r="V309" s="219">
        <f t="shared" si="107"/>
        <v>30</v>
      </c>
      <c r="W309" s="219">
        <f t="shared" si="107"/>
        <v>30</v>
      </c>
      <c r="X309" s="219">
        <f t="shared" si="107"/>
        <v>30</v>
      </c>
      <c r="Y309" s="219">
        <f t="shared" si="107"/>
        <v>30</v>
      </c>
      <c r="Z309" s="219">
        <f t="shared" si="107"/>
        <v>30</v>
      </c>
      <c r="AA309" s="219">
        <f t="shared" si="107"/>
        <v>30</v>
      </c>
      <c r="AB309" s="219">
        <f t="shared" si="107"/>
        <v>30</v>
      </c>
      <c r="AC309" s="219">
        <f t="shared" si="107"/>
        <v>30</v>
      </c>
      <c r="AD309" s="219">
        <f t="shared" si="107"/>
        <v>30</v>
      </c>
    </row>
    <row r="310" spans="1:30" ht="13.5" outlineLevel="1" thickBot="1">
      <c r="A310" s="13" t="s">
        <v>11</v>
      </c>
      <c r="B310" s="13" t="s">
        <v>82</v>
      </c>
      <c r="C310" s="58">
        <f>AD310</f>
        <v>0</v>
      </c>
      <c r="D310" s="42">
        <f t="shared" ref="D310:AD310" si="108">IF(E306=0,0,D306*D309/365)</f>
        <v>0</v>
      </c>
      <c r="E310" s="42">
        <f t="shared" si="108"/>
        <v>0</v>
      </c>
      <c r="F310" s="42">
        <f t="shared" si="108"/>
        <v>41.793751270790295</v>
      </c>
      <c r="G310" s="42">
        <f t="shared" si="108"/>
        <v>75.275562294262144</v>
      </c>
      <c r="H310" s="42">
        <f t="shared" si="108"/>
        <v>80.698474418193783</v>
      </c>
      <c r="I310" s="42">
        <f t="shared" si="108"/>
        <v>80.698474418193783</v>
      </c>
      <c r="J310" s="42">
        <f t="shared" si="108"/>
        <v>83.548048368474937</v>
      </c>
      <c r="K310" s="42">
        <f t="shared" si="108"/>
        <v>73.141760969784642</v>
      </c>
      <c r="L310" s="42">
        <f t="shared" si="108"/>
        <v>67.842112738479997</v>
      </c>
      <c r="M310" s="42">
        <f t="shared" si="108"/>
        <v>67.050634662839414</v>
      </c>
      <c r="N310" s="42">
        <f t="shared" si="108"/>
        <v>67.050634662839414</v>
      </c>
      <c r="O310" s="42">
        <f t="shared" si="108"/>
        <v>67.050634662839414</v>
      </c>
      <c r="P310" s="42">
        <f t="shared" si="108"/>
        <v>69.249673698566511</v>
      </c>
      <c r="Q310" s="42">
        <f t="shared" si="108"/>
        <v>59.40024135166081</v>
      </c>
      <c r="R310" s="42">
        <f t="shared" si="108"/>
        <v>59.011874807364762</v>
      </c>
      <c r="S310" s="42">
        <f t="shared" si="108"/>
        <v>59.011874807364762</v>
      </c>
      <c r="T310" s="42">
        <f t="shared" si="108"/>
        <v>0</v>
      </c>
      <c r="U310" s="42">
        <f t="shared" si="108"/>
        <v>0</v>
      </c>
      <c r="V310" s="42">
        <f t="shared" si="108"/>
        <v>0</v>
      </c>
      <c r="W310" s="42">
        <f t="shared" si="108"/>
        <v>0</v>
      </c>
      <c r="X310" s="42">
        <f t="shared" si="108"/>
        <v>0</v>
      </c>
      <c r="Y310" s="42">
        <f t="shared" si="108"/>
        <v>0</v>
      </c>
      <c r="Z310" s="42">
        <f t="shared" si="108"/>
        <v>0</v>
      </c>
      <c r="AA310" s="42">
        <f t="shared" si="108"/>
        <v>0</v>
      </c>
      <c r="AB310" s="42">
        <f t="shared" si="108"/>
        <v>0</v>
      </c>
      <c r="AC310" s="42">
        <f t="shared" si="108"/>
        <v>0</v>
      </c>
      <c r="AD310" s="42">
        <f t="shared" si="108"/>
        <v>0</v>
      </c>
    </row>
    <row r="311" spans="1:30" s="25" customFormat="1" ht="37.25" customHeight="1" thickBot="1">
      <c r="A311" s="26" t="str">
        <f>"Cashstream 1: Revenue - "&amp;A3</f>
        <v>Cashstream 1: Revenue - High Case</v>
      </c>
      <c r="B311" s="32" t="s">
        <v>82</v>
      </c>
      <c r="C311" s="27">
        <f>SUM(D311:AD311)</f>
        <v>12493.442456956995</v>
      </c>
      <c r="D311" s="140">
        <f>D306-D310</f>
        <v>0</v>
      </c>
      <c r="E311" s="129">
        <f t="shared" ref="E311:AD311" si="109">D310+E306-E310</f>
        <v>0</v>
      </c>
      <c r="F311" s="129">
        <f t="shared" si="109"/>
        <v>466.69688919049167</v>
      </c>
      <c r="G311" s="129">
        <f t="shared" si="109"/>
        <v>882.3708635567175</v>
      </c>
      <c r="H311" s="129">
        <f t="shared" si="109"/>
        <v>976.40852663075941</v>
      </c>
      <c r="I311" s="129">
        <f t="shared" si="109"/>
        <v>981.83143875469102</v>
      </c>
      <c r="J311" s="129">
        <f t="shared" si="109"/>
        <v>1013.6516811994971</v>
      </c>
      <c r="K311" s="129">
        <f t="shared" si="109"/>
        <v>900.29771253107015</v>
      </c>
      <c r="L311" s="129">
        <f t="shared" si="109"/>
        <v>830.71201988281132</v>
      </c>
      <c r="M311" s="129">
        <f t="shared" si="109"/>
        <v>816.57419980685347</v>
      </c>
      <c r="N311" s="129">
        <f t="shared" si="109"/>
        <v>815.78272173121297</v>
      </c>
      <c r="O311" s="129">
        <f t="shared" si="109"/>
        <v>815.78272173121297</v>
      </c>
      <c r="P311" s="129">
        <f t="shared" si="109"/>
        <v>840.33865763016559</v>
      </c>
      <c r="Q311" s="129">
        <f t="shared" si="109"/>
        <v>732.55236879211225</v>
      </c>
      <c r="R311" s="129">
        <f t="shared" si="109"/>
        <v>718.36617670056739</v>
      </c>
      <c r="S311" s="129">
        <f t="shared" si="109"/>
        <v>717.97781015627129</v>
      </c>
      <c r="T311" s="129">
        <f t="shared" si="109"/>
        <v>984.09866866256061</v>
      </c>
      <c r="U311" s="129">
        <f t="shared" si="109"/>
        <v>0</v>
      </c>
      <c r="V311" s="129">
        <f t="shared" si="109"/>
        <v>0</v>
      </c>
      <c r="W311" s="129">
        <f t="shared" si="109"/>
        <v>0</v>
      </c>
      <c r="X311" s="129">
        <f t="shared" si="109"/>
        <v>0</v>
      </c>
      <c r="Y311" s="129">
        <f t="shared" si="109"/>
        <v>0</v>
      </c>
      <c r="Z311" s="129">
        <f t="shared" si="109"/>
        <v>0</v>
      </c>
      <c r="AA311" s="129">
        <f t="shared" si="109"/>
        <v>0</v>
      </c>
      <c r="AB311" s="129">
        <f t="shared" si="109"/>
        <v>0</v>
      </c>
      <c r="AC311" s="129">
        <f t="shared" si="109"/>
        <v>0</v>
      </c>
      <c r="AD311" s="129">
        <f t="shared" si="109"/>
        <v>0</v>
      </c>
    </row>
    <row r="312" spans="1:30" s="14" customFormat="1" ht="40.5" customHeight="1">
      <c r="A312" s="50" t="s">
        <v>215</v>
      </c>
      <c r="B312" s="13"/>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c r="AA312" s="44"/>
      <c r="AB312" s="44"/>
      <c r="AC312" s="44"/>
      <c r="AD312" s="44"/>
    </row>
    <row r="313" spans="1:30">
      <c r="A313" s="13" t="s">
        <v>164</v>
      </c>
      <c r="B313" s="13" t="s">
        <v>82</v>
      </c>
      <c r="C313" s="44">
        <f>SUM(D313:AD313)</f>
        <v>9761.2263956395091</v>
      </c>
      <c r="D313" s="42">
        <f t="shared" ref="D313:AD313" si="110">D282*D$192/1000</f>
        <v>0</v>
      </c>
      <c r="E313" s="42">
        <f t="shared" si="110"/>
        <v>0</v>
      </c>
      <c r="F313" s="42">
        <f t="shared" si="110"/>
        <v>362.65330301650681</v>
      </c>
      <c r="G313" s="42">
        <f t="shared" si="110"/>
        <v>647.35786930289771</v>
      </c>
      <c r="H313" s="42">
        <f t="shared" si="110"/>
        <v>691.06027579748741</v>
      </c>
      <c r="I313" s="42">
        <f t="shared" si="110"/>
        <v>691.06027579748741</v>
      </c>
      <c r="J313" s="42">
        <f t="shared" si="110"/>
        <v>715.78663736679459</v>
      </c>
      <c r="K313" s="42">
        <f t="shared" si="110"/>
        <v>657.08548829237338</v>
      </c>
      <c r="L313" s="42">
        <f t="shared" si="110"/>
        <v>653.1028615796597</v>
      </c>
      <c r="M313" s="42">
        <f t="shared" si="110"/>
        <v>655.06755309970163</v>
      </c>
      <c r="N313" s="42">
        <f t="shared" si="110"/>
        <v>655.06755309970163</v>
      </c>
      <c r="O313" s="42">
        <f t="shared" si="110"/>
        <v>655.06755309970163</v>
      </c>
      <c r="P313" s="42">
        <f t="shared" si="110"/>
        <v>657.12808323047716</v>
      </c>
      <c r="Q313" s="42">
        <f t="shared" si="110"/>
        <v>637.64089904794821</v>
      </c>
      <c r="R313" s="42">
        <f t="shared" si="110"/>
        <v>633.47191948103011</v>
      </c>
      <c r="S313" s="42">
        <f t="shared" si="110"/>
        <v>633.47191948103011</v>
      </c>
      <c r="T313" s="42">
        <f t="shared" si="110"/>
        <v>816.20420394671191</v>
      </c>
      <c r="U313" s="42">
        <f t="shared" si="110"/>
        <v>0</v>
      </c>
      <c r="V313" s="42">
        <f t="shared" si="110"/>
        <v>0</v>
      </c>
      <c r="W313" s="42">
        <f t="shared" si="110"/>
        <v>0</v>
      </c>
      <c r="X313" s="42">
        <f t="shared" si="110"/>
        <v>0</v>
      </c>
      <c r="Y313" s="42">
        <f t="shared" si="110"/>
        <v>0</v>
      </c>
      <c r="Z313" s="42">
        <f t="shared" si="110"/>
        <v>0</v>
      </c>
      <c r="AA313" s="42">
        <f t="shared" si="110"/>
        <v>0</v>
      </c>
      <c r="AB313" s="42">
        <f t="shared" si="110"/>
        <v>0</v>
      </c>
      <c r="AC313" s="42">
        <f t="shared" si="110"/>
        <v>0</v>
      </c>
      <c r="AD313" s="42">
        <f t="shared" si="110"/>
        <v>0</v>
      </c>
    </row>
    <row r="314" spans="1:30">
      <c r="A314" s="49" t="s">
        <v>265</v>
      </c>
      <c r="C314" s="44"/>
      <c r="D314" s="42"/>
      <c r="E314" s="42"/>
      <c r="F314" s="42"/>
      <c r="G314" s="42"/>
      <c r="H314" s="42"/>
      <c r="I314" s="42"/>
      <c r="J314" s="42"/>
      <c r="K314" s="42"/>
      <c r="L314" s="42"/>
      <c r="M314" s="42"/>
      <c r="N314" s="42"/>
      <c r="O314" s="42"/>
      <c r="P314" s="42"/>
      <c r="Q314" s="42"/>
      <c r="R314" s="42"/>
      <c r="S314" s="42"/>
      <c r="T314" s="42"/>
      <c r="U314" s="42"/>
      <c r="V314" s="42"/>
      <c r="W314" s="42"/>
      <c r="X314" s="42"/>
      <c r="Y314" s="42"/>
      <c r="Z314" s="42"/>
      <c r="AA314" s="42"/>
      <c r="AB314" s="42"/>
      <c r="AC314" s="42"/>
      <c r="AD314" s="42"/>
    </row>
    <row r="315" spans="1:30">
      <c r="A315" s="13" t="s">
        <v>434</v>
      </c>
      <c r="B315" s="13" t="s">
        <v>82</v>
      </c>
      <c r="C315" s="44">
        <f>SUM(D315:AD315)</f>
        <v>1380.7417436460644</v>
      </c>
      <c r="D315" s="42">
        <f t="shared" ref="D315:AD316" si="111">D283*D$192/1000</f>
        <v>0</v>
      </c>
      <c r="E315" s="42">
        <f t="shared" si="111"/>
        <v>0</v>
      </c>
      <c r="F315" s="42">
        <f t="shared" si="111"/>
        <v>54.201694919043362</v>
      </c>
      <c r="G315" s="42">
        <f t="shared" si="111"/>
        <v>96.753272184592532</v>
      </c>
      <c r="H315" s="42">
        <f t="shared" si="111"/>
        <v>103.28497749196138</v>
      </c>
      <c r="I315" s="42">
        <f t="shared" si="111"/>
        <v>103.28497749196138</v>
      </c>
      <c r="J315" s="42">
        <f t="shared" si="111"/>
        <v>106.98054760007798</v>
      </c>
      <c r="K315" s="42">
        <f t="shared" si="111"/>
        <v>95.062216805732589</v>
      </c>
      <c r="L315" s="42">
        <f t="shared" si="111"/>
        <v>91.273475520367555</v>
      </c>
      <c r="M315" s="42">
        <f t="shared" si="111"/>
        <v>91.548048231511245</v>
      </c>
      <c r="N315" s="42">
        <f t="shared" si="111"/>
        <v>91.548048231511245</v>
      </c>
      <c r="O315" s="42">
        <f t="shared" si="111"/>
        <v>91.548048231511245</v>
      </c>
      <c r="P315" s="42">
        <f t="shared" si="111"/>
        <v>92.300028281569269</v>
      </c>
      <c r="Q315" s="42">
        <f t="shared" si="111"/>
        <v>85.062037397258322</v>
      </c>
      <c r="R315" s="42">
        <f t="shared" si="111"/>
        <v>84.505890675241162</v>
      </c>
      <c r="S315" s="42">
        <f t="shared" si="111"/>
        <v>84.505890675241162</v>
      </c>
      <c r="T315" s="42">
        <f t="shared" si="111"/>
        <v>108.88258990848384</v>
      </c>
      <c r="U315" s="42">
        <f t="shared" si="111"/>
        <v>0</v>
      </c>
      <c r="V315" s="42">
        <f t="shared" si="111"/>
        <v>0</v>
      </c>
      <c r="W315" s="42">
        <f t="shared" si="111"/>
        <v>0</v>
      </c>
      <c r="X315" s="42">
        <f t="shared" si="111"/>
        <v>0</v>
      </c>
      <c r="Y315" s="42">
        <f t="shared" si="111"/>
        <v>0</v>
      </c>
      <c r="Z315" s="42">
        <f t="shared" si="111"/>
        <v>0</v>
      </c>
      <c r="AA315" s="42">
        <f t="shared" si="111"/>
        <v>0</v>
      </c>
      <c r="AB315" s="42">
        <f t="shared" si="111"/>
        <v>0</v>
      </c>
      <c r="AC315" s="42">
        <f t="shared" si="111"/>
        <v>0</v>
      </c>
      <c r="AD315" s="42">
        <f t="shared" si="111"/>
        <v>0</v>
      </c>
    </row>
    <row r="316" spans="1:30">
      <c r="A316" s="13" t="s">
        <v>435</v>
      </c>
      <c r="B316" s="13" t="s">
        <v>82</v>
      </c>
      <c r="C316" s="44">
        <f>SUM(D316:AD316)</f>
        <v>14.243323271420323</v>
      </c>
      <c r="D316" s="42">
        <f t="shared" si="111"/>
        <v>0</v>
      </c>
      <c r="E316" s="42">
        <f t="shared" si="111"/>
        <v>0</v>
      </c>
      <c r="F316" s="42">
        <f t="shared" si="111"/>
        <v>1.5956041351992141</v>
      </c>
      <c r="G316" s="42">
        <f t="shared" si="111"/>
        <v>2.8482489601547627</v>
      </c>
      <c r="H316" s="42">
        <f t="shared" si="111"/>
        <v>3.0405310652421944</v>
      </c>
      <c r="I316" s="42">
        <f t="shared" si="111"/>
        <v>3.0405310652421944</v>
      </c>
      <c r="J316" s="42">
        <f t="shared" si="111"/>
        <v>3.1493222562785057</v>
      </c>
      <c r="K316" s="42">
        <f t="shared" si="111"/>
        <v>0.56908578930345055</v>
      </c>
      <c r="L316" s="42">
        <f t="shared" si="111"/>
        <v>0</v>
      </c>
      <c r="M316" s="42">
        <f t="shared" si="111"/>
        <v>0</v>
      </c>
      <c r="N316" s="42">
        <f t="shared" si="111"/>
        <v>0</v>
      </c>
      <c r="O316" s="42">
        <f t="shared" si="111"/>
        <v>0</v>
      </c>
      <c r="P316" s="42">
        <f t="shared" si="111"/>
        <v>0</v>
      </c>
      <c r="Q316" s="42">
        <f t="shared" si="111"/>
        <v>0</v>
      </c>
      <c r="R316" s="42">
        <f t="shared" si="111"/>
        <v>0</v>
      </c>
      <c r="S316" s="42">
        <f t="shared" si="111"/>
        <v>0</v>
      </c>
      <c r="T316" s="42">
        <f t="shared" si="111"/>
        <v>0</v>
      </c>
      <c r="U316" s="42">
        <f t="shared" si="111"/>
        <v>0</v>
      </c>
      <c r="V316" s="42">
        <f t="shared" si="111"/>
        <v>0</v>
      </c>
      <c r="W316" s="42">
        <f t="shared" si="111"/>
        <v>0</v>
      </c>
      <c r="X316" s="42">
        <f t="shared" si="111"/>
        <v>0</v>
      </c>
      <c r="Y316" s="42">
        <f t="shared" si="111"/>
        <v>0</v>
      </c>
      <c r="Z316" s="42">
        <f t="shared" si="111"/>
        <v>0</v>
      </c>
      <c r="AA316" s="42">
        <f t="shared" si="111"/>
        <v>0</v>
      </c>
      <c r="AB316" s="42">
        <f t="shared" si="111"/>
        <v>0</v>
      </c>
      <c r="AC316" s="42">
        <f t="shared" si="111"/>
        <v>0</v>
      </c>
      <c r="AD316" s="42">
        <f t="shared" si="111"/>
        <v>0</v>
      </c>
    </row>
    <row r="317" spans="1:30">
      <c r="A317" s="13" t="s">
        <v>264</v>
      </c>
      <c r="B317" s="13" t="s">
        <v>82</v>
      </c>
      <c r="C317" s="44">
        <f>SUM(D317:AD317)</f>
        <v>1337.2309943999996</v>
      </c>
      <c r="D317" s="42">
        <f t="shared" ref="D317:AD317" si="112">D303</f>
        <v>0</v>
      </c>
      <c r="E317" s="42">
        <f t="shared" si="112"/>
        <v>0</v>
      </c>
      <c r="F317" s="42">
        <f t="shared" si="112"/>
        <v>90.040038390532516</v>
      </c>
      <c r="G317" s="42">
        <f t="shared" si="112"/>
        <v>168.89328413254435</v>
      </c>
      <c r="H317" s="42">
        <f t="shared" si="112"/>
        <v>184.44565439999997</v>
      </c>
      <c r="I317" s="42">
        <f t="shared" si="112"/>
        <v>184.44565439999997</v>
      </c>
      <c r="J317" s="42">
        <f t="shared" si="112"/>
        <v>190.58474792662719</v>
      </c>
      <c r="K317" s="42">
        <f t="shared" si="112"/>
        <v>137.17463424497041</v>
      </c>
      <c r="L317" s="42">
        <f t="shared" si="112"/>
        <v>81.036034551479275</v>
      </c>
      <c r="M317" s="42">
        <f t="shared" si="112"/>
        <v>69.167120400000002</v>
      </c>
      <c r="N317" s="42">
        <f t="shared" si="112"/>
        <v>69.167120400000002</v>
      </c>
      <c r="O317" s="42">
        <f t="shared" si="112"/>
        <v>69.167120400000002</v>
      </c>
      <c r="P317" s="42">
        <f t="shared" si="112"/>
        <v>93.109585153846155</v>
      </c>
      <c r="Q317" s="42">
        <f t="shared" si="112"/>
        <v>0</v>
      </c>
      <c r="R317" s="42">
        <f t="shared" si="112"/>
        <v>0</v>
      </c>
      <c r="S317" s="42">
        <f t="shared" si="112"/>
        <v>0</v>
      </c>
      <c r="T317" s="42">
        <f t="shared" si="112"/>
        <v>0</v>
      </c>
      <c r="U317" s="42">
        <f t="shared" si="112"/>
        <v>0</v>
      </c>
      <c r="V317" s="42">
        <f t="shared" si="112"/>
        <v>0</v>
      </c>
      <c r="W317" s="42">
        <f t="shared" si="112"/>
        <v>0</v>
      </c>
      <c r="X317" s="42">
        <f t="shared" si="112"/>
        <v>0</v>
      </c>
      <c r="Y317" s="42">
        <f t="shared" si="112"/>
        <v>0</v>
      </c>
      <c r="Z317" s="42">
        <f t="shared" si="112"/>
        <v>0</v>
      </c>
      <c r="AA317" s="42">
        <f t="shared" si="112"/>
        <v>0</v>
      </c>
      <c r="AB317" s="42">
        <f t="shared" si="112"/>
        <v>0</v>
      </c>
      <c r="AC317" s="42">
        <f t="shared" si="112"/>
        <v>0</v>
      </c>
      <c r="AD317" s="42">
        <f t="shared" si="112"/>
        <v>0</v>
      </c>
    </row>
    <row r="318" spans="1:30">
      <c r="A318" s="13" t="s">
        <v>159</v>
      </c>
      <c r="B318" s="13" t="s">
        <v>82</v>
      </c>
      <c r="C318" s="44">
        <f>SUM(D318:AD318)</f>
        <v>2732.2160613174842</v>
      </c>
      <c r="D318" s="70">
        <f t="shared" ref="D318:AD318" si="113">SUM(D315:D317)</f>
        <v>0</v>
      </c>
      <c r="E318" s="70">
        <f t="shared" si="113"/>
        <v>0</v>
      </c>
      <c r="F318" s="70">
        <f t="shared" si="113"/>
        <v>145.8373374447751</v>
      </c>
      <c r="G318" s="70">
        <f t="shared" si="113"/>
        <v>268.49480527729168</v>
      </c>
      <c r="H318" s="70">
        <f t="shared" si="113"/>
        <v>290.77116295720356</v>
      </c>
      <c r="I318" s="70">
        <f t="shared" si="113"/>
        <v>290.77116295720356</v>
      </c>
      <c r="J318" s="70">
        <f t="shared" si="113"/>
        <v>300.71461778298368</v>
      </c>
      <c r="K318" s="70">
        <f t="shared" si="113"/>
        <v>232.80593684000644</v>
      </c>
      <c r="L318" s="70">
        <f t="shared" si="113"/>
        <v>172.30951007184683</v>
      </c>
      <c r="M318" s="70">
        <f t="shared" si="113"/>
        <v>160.71516863151123</v>
      </c>
      <c r="N318" s="70">
        <f t="shared" si="113"/>
        <v>160.71516863151123</v>
      </c>
      <c r="O318" s="70">
        <f t="shared" si="113"/>
        <v>160.71516863151123</v>
      </c>
      <c r="P318" s="70">
        <f t="shared" si="113"/>
        <v>185.40961343541542</v>
      </c>
      <c r="Q318" s="70">
        <f t="shared" si="113"/>
        <v>85.062037397258322</v>
      </c>
      <c r="R318" s="70">
        <f t="shared" si="113"/>
        <v>84.505890675241162</v>
      </c>
      <c r="S318" s="70">
        <f t="shared" si="113"/>
        <v>84.505890675241162</v>
      </c>
      <c r="T318" s="70">
        <f t="shared" si="113"/>
        <v>108.88258990848384</v>
      </c>
      <c r="U318" s="70">
        <f t="shared" si="113"/>
        <v>0</v>
      </c>
      <c r="V318" s="70">
        <f t="shared" si="113"/>
        <v>0</v>
      </c>
      <c r="W318" s="70">
        <f t="shared" si="113"/>
        <v>0</v>
      </c>
      <c r="X318" s="70">
        <f t="shared" si="113"/>
        <v>0</v>
      </c>
      <c r="Y318" s="70">
        <f t="shared" si="113"/>
        <v>0</v>
      </c>
      <c r="Z318" s="70">
        <f t="shared" si="113"/>
        <v>0</v>
      </c>
      <c r="AA318" s="70">
        <f t="shared" si="113"/>
        <v>0</v>
      </c>
      <c r="AB318" s="70">
        <f t="shared" si="113"/>
        <v>0</v>
      </c>
      <c r="AC318" s="70">
        <f t="shared" si="113"/>
        <v>0</v>
      </c>
      <c r="AD318" s="70">
        <f t="shared" si="113"/>
        <v>0</v>
      </c>
    </row>
    <row r="319" spans="1:30" ht="51" customHeight="1">
      <c r="A319" s="23" t="s">
        <v>397</v>
      </c>
      <c r="C319" s="42"/>
      <c r="D319" s="42"/>
      <c r="E319" s="42"/>
      <c r="F319" s="42"/>
      <c r="G319" s="42"/>
      <c r="H319" s="42"/>
      <c r="I319" s="42"/>
      <c r="J319" s="42"/>
      <c r="K319" s="42"/>
      <c r="L319" s="42"/>
      <c r="M319" s="42"/>
      <c r="N319" s="42"/>
      <c r="O319" s="42"/>
      <c r="P319" s="42"/>
      <c r="Q319" s="42"/>
      <c r="R319" s="42"/>
      <c r="S319" s="42"/>
      <c r="T319" s="42"/>
      <c r="U319" s="42"/>
      <c r="V319" s="42"/>
      <c r="W319" s="42"/>
      <c r="X319" s="42"/>
      <c r="Y319" s="42"/>
      <c r="Z319" s="42"/>
      <c r="AA319" s="42"/>
      <c r="AB319" s="42"/>
      <c r="AC319" s="42"/>
      <c r="AD319" s="42"/>
    </row>
    <row r="320" spans="1:30" outlineLevel="1">
      <c r="A320" s="144" t="str">
        <f>A$98</f>
        <v>Forex: A$ = US$  - High Case</v>
      </c>
      <c r="B320" s="142" t="str">
        <f>B$98</f>
        <v>A$1.00 = US$ ....</v>
      </c>
      <c r="C320" s="57"/>
      <c r="D320" s="57">
        <f t="shared" ref="D320:AD320" si="114">D$98</f>
        <v>0.9</v>
      </c>
      <c r="E320" s="57">
        <f t="shared" si="114"/>
        <v>0.9</v>
      </c>
      <c r="F320" s="57">
        <f t="shared" si="114"/>
        <v>0.9</v>
      </c>
      <c r="G320" s="57">
        <f t="shared" si="114"/>
        <v>0.9</v>
      </c>
      <c r="H320" s="57">
        <f t="shared" si="114"/>
        <v>0.9</v>
      </c>
      <c r="I320" s="57">
        <f t="shared" si="114"/>
        <v>0.9</v>
      </c>
      <c r="J320" s="57">
        <f t="shared" si="114"/>
        <v>0.9</v>
      </c>
      <c r="K320" s="57">
        <f t="shared" si="114"/>
        <v>0.9</v>
      </c>
      <c r="L320" s="57">
        <f t="shared" si="114"/>
        <v>0.9</v>
      </c>
      <c r="M320" s="57">
        <f t="shared" si="114"/>
        <v>0.9</v>
      </c>
      <c r="N320" s="57">
        <f t="shared" si="114"/>
        <v>0.9</v>
      </c>
      <c r="O320" s="57">
        <f t="shared" si="114"/>
        <v>0.9</v>
      </c>
      <c r="P320" s="57">
        <f t="shared" si="114"/>
        <v>0.9</v>
      </c>
      <c r="Q320" s="57">
        <f t="shared" si="114"/>
        <v>0.9</v>
      </c>
      <c r="R320" s="57">
        <f t="shared" si="114"/>
        <v>0.9</v>
      </c>
      <c r="S320" s="57">
        <f t="shared" si="114"/>
        <v>0.9</v>
      </c>
      <c r="T320" s="57">
        <f t="shared" si="114"/>
        <v>0.9</v>
      </c>
      <c r="U320" s="57">
        <f t="shared" si="114"/>
        <v>0.9</v>
      </c>
      <c r="V320" s="57">
        <f t="shared" si="114"/>
        <v>0.9</v>
      </c>
      <c r="W320" s="57">
        <f t="shared" si="114"/>
        <v>0.9</v>
      </c>
      <c r="X320" s="57">
        <f t="shared" si="114"/>
        <v>0.9</v>
      </c>
      <c r="Y320" s="57">
        <f t="shared" si="114"/>
        <v>0.9</v>
      </c>
      <c r="Z320" s="57">
        <f t="shared" si="114"/>
        <v>0.9</v>
      </c>
      <c r="AA320" s="57">
        <f t="shared" si="114"/>
        <v>0.9</v>
      </c>
      <c r="AB320" s="57">
        <f t="shared" si="114"/>
        <v>0.9</v>
      </c>
      <c r="AC320" s="57">
        <f t="shared" si="114"/>
        <v>0.9</v>
      </c>
      <c r="AD320" s="57">
        <f t="shared" si="114"/>
        <v>0.9</v>
      </c>
    </row>
    <row r="321" spans="1:30" outlineLevel="1">
      <c r="A321" s="143" t="str">
        <f>"Revenue in A$ - "&amp;A3</f>
        <v>Revenue in A$ - High Case</v>
      </c>
      <c r="B321" s="13" t="s">
        <v>285</v>
      </c>
      <c r="C321" s="42">
        <f>SUM(D321:AD321)</f>
        <v>13881.602729952219</v>
      </c>
      <c r="D321" s="42">
        <f t="shared" ref="D321:AD321" si="115">D306/D320</f>
        <v>0</v>
      </c>
      <c r="E321" s="42">
        <f t="shared" si="115"/>
        <v>0</v>
      </c>
      <c r="F321" s="42">
        <f t="shared" si="115"/>
        <v>564.9896005125355</v>
      </c>
      <c r="G321" s="42">
        <f t="shared" si="115"/>
        <v>1017.6140828668771</v>
      </c>
      <c r="H321" s="42">
        <f t="shared" si="115"/>
        <v>1090.9238208385455</v>
      </c>
      <c r="I321" s="42">
        <f t="shared" si="115"/>
        <v>1090.9238208385455</v>
      </c>
      <c r="J321" s="42">
        <f t="shared" si="115"/>
        <v>1129.4458390553093</v>
      </c>
      <c r="K321" s="42">
        <f t="shared" si="115"/>
        <v>988.76825014708868</v>
      </c>
      <c r="L321" s="42">
        <f t="shared" si="115"/>
        <v>917.12485739056297</v>
      </c>
      <c r="M321" s="42">
        <f t="shared" si="115"/>
        <v>906.42524636801443</v>
      </c>
      <c r="N321" s="42">
        <f t="shared" si="115"/>
        <v>906.42524636801443</v>
      </c>
      <c r="O321" s="42">
        <f t="shared" si="115"/>
        <v>906.42524636801443</v>
      </c>
      <c r="P321" s="42">
        <f t="shared" si="115"/>
        <v>936.15299629543631</v>
      </c>
      <c r="Q321" s="42">
        <f t="shared" si="115"/>
        <v>803.00326271689619</v>
      </c>
      <c r="R321" s="42">
        <f t="shared" si="115"/>
        <v>797.75312239585696</v>
      </c>
      <c r="S321" s="42">
        <f t="shared" si="115"/>
        <v>797.75312239585696</v>
      </c>
      <c r="T321" s="42">
        <f t="shared" si="115"/>
        <v>1027.8742153946621</v>
      </c>
      <c r="U321" s="42">
        <f t="shared" si="115"/>
        <v>0</v>
      </c>
      <c r="V321" s="42">
        <f t="shared" si="115"/>
        <v>0</v>
      </c>
      <c r="W321" s="42">
        <f t="shared" si="115"/>
        <v>0</v>
      </c>
      <c r="X321" s="42">
        <f t="shared" si="115"/>
        <v>0</v>
      </c>
      <c r="Y321" s="42">
        <f t="shared" si="115"/>
        <v>0</v>
      </c>
      <c r="Z321" s="42">
        <f t="shared" si="115"/>
        <v>0</v>
      </c>
      <c r="AA321" s="42">
        <f t="shared" si="115"/>
        <v>0</v>
      </c>
      <c r="AB321" s="42">
        <f t="shared" si="115"/>
        <v>0</v>
      </c>
      <c r="AC321" s="42">
        <f t="shared" si="115"/>
        <v>0</v>
      </c>
      <c r="AD321" s="42">
        <f t="shared" si="115"/>
        <v>0</v>
      </c>
    </row>
    <row r="322" spans="1:30" outlineLevel="1">
      <c r="A322" s="69" t="s">
        <v>396</v>
      </c>
      <c r="C322" s="42"/>
      <c r="D322" s="42"/>
      <c r="E322" s="42"/>
      <c r="F322" s="42"/>
      <c r="G322" s="42"/>
      <c r="H322" s="42"/>
      <c r="I322" s="42"/>
      <c r="J322" s="42"/>
      <c r="K322" s="42"/>
      <c r="L322" s="42"/>
      <c r="M322" s="42"/>
      <c r="N322" s="42"/>
      <c r="O322" s="42"/>
      <c r="P322" s="42"/>
      <c r="Q322" s="42"/>
      <c r="R322" s="42"/>
      <c r="S322" s="42"/>
      <c r="T322" s="42"/>
      <c r="U322" s="42"/>
      <c r="V322" s="42"/>
      <c r="W322" s="42"/>
      <c r="X322" s="42"/>
      <c r="Y322" s="42"/>
      <c r="Z322" s="42"/>
      <c r="AA322" s="42"/>
      <c r="AB322" s="42"/>
      <c r="AC322" s="42"/>
      <c r="AD322" s="42"/>
    </row>
    <row r="323" spans="1:30" outlineLevel="1">
      <c r="A323" s="143" t="s">
        <v>392</v>
      </c>
      <c r="B323" s="13" t="s">
        <v>285</v>
      </c>
      <c r="C323" s="42">
        <f>SUM(D323:AD323)</f>
        <v>10845.80710626612</v>
      </c>
      <c r="D323" s="42">
        <f t="shared" ref="D323:AD323" si="116">D313/D320</f>
        <v>0</v>
      </c>
      <c r="E323" s="42">
        <f t="shared" si="116"/>
        <v>0</v>
      </c>
      <c r="F323" s="42">
        <f t="shared" si="116"/>
        <v>402.94811446278533</v>
      </c>
      <c r="G323" s="42">
        <f t="shared" si="116"/>
        <v>719.28652144766409</v>
      </c>
      <c r="H323" s="42">
        <f t="shared" si="116"/>
        <v>767.84475088609713</v>
      </c>
      <c r="I323" s="42">
        <f t="shared" si="116"/>
        <v>767.84475088609713</v>
      </c>
      <c r="J323" s="42">
        <f t="shared" si="116"/>
        <v>795.3184859631051</v>
      </c>
      <c r="K323" s="42">
        <f t="shared" si="116"/>
        <v>730.09498699152596</v>
      </c>
      <c r="L323" s="42">
        <f t="shared" si="116"/>
        <v>725.66984619962193</v>
      </c>
      <c r="M323" s="42">
        <f t="shared" si="116"/>
        <v>727.85283677744621</v>
      </c>
      <c r="N323" s="42">
        <f t="shared" si="116"/>
        <v>727.85283677744621</v>
      </c>
      <c r="O323" s="42">
        <f t="shared" si="116"/>
        <v>727.85283677744621</v>
      </c>
      <c r="P323" s="42">
        <f t="shared" si="116"/>
        <v>730.14231470053016</v>
      </c>
      <c r="Q323" s="42">
        <f t="shared" si="116"/>
        <v>708.48988783105358</v>
      </c>
      <c r="R323" s="42">
        <f t="shared" si="116"/>
        <v>703.85768831225562</v>
      </c>
      <c r="S323" s="42">
        <f t="shared" si="116"/>
        <v>703.85768831225562</v>
      </c>
      <c r="T323" s="42">
        <f t="shared" si="116"/>
        <v>906.89355994079096</v>
      </c>
      <c r="U323" s="42">
        <f t="shared" si="116"/>
        <v>0</v>
      </c>
      <c r="V323" s="42">
        <f t="shared" si="116"/>
        <v>0</v>
      </c>
      <c r="W323" s="42">
        <f t="shared" si="116"/>
        <v>0</v>
      </c>
      <c r="X323" s="42">
        <f t="shared" si="116"/>
        <v>0</v>
      </c>
      <c r="Y323" s="42">
        <f t="shared" si="116"/>
        <v>0</v>
      </c>
      <c r="Z323" s="42">
        <f t="shared" si="116"/>
        <v>0</v>
      </c>
      <c r="AA323" s="42">
        <f t="shared" si="116"/>
        <v>0</v>
      </c>
      <c r="AB323" s="42">
        <f t="shared" si="116"/>
        <v>0</v>
      </c>
      <c r="AC323" s="42">
        <f t="shared" si="116"/>
        <v>0</v>
      </c>
      <c r="AD323" s="42">
        <f t="shared" si="116"/>
        <v>0</v>
      </c>
    </row>
    <row r="324" spans="1:30" outlineLevel="1">
      <c r="A324" s="143" t="s">
        <v>393</v>
      </c>
      <c r="B324" s="13" t="s">
        <v>285</v>
      </c>
      <c r="C324" s="42">
        <f t="shared" ref="C324:C326" si="117">SUM(D324:AD324)</f>
        <v>1534.1574929400711</v>
      </c>
      <c r="D324" s="42">
        <f t="shared" ref="D324:AD324" si="118">D315/D320</f>
        <v>0</v>
      </c>
      <c r="E324" s="42">
        <f t="shared" si="118"/>
        <v>0</v>
      </c>
      <c r="F324" s="42">
        <f t="shared" si="118"/>
        <v>60.224105465603735</v>
      </c>
      <c r="G324" s="42">
        <f t="shared" si="118"/>
        <v>107.50363576065837</v>
      </c>
      <c r="H324" s="42">
        <f t="shared" si="118"/>
        <v>114.76108610217932</v>
      </c>
      <c r="I324" s="42">
        <f t="shared" si="118"/>
        <v>114.76108610217932</v>
      </c>
      <c r="J324" s="42">
        <f t="shared" si="118"/>
        <v>118.86727511119776</v>
      </c>
      <c r="K324" s="42">
        <f t="shared" si="118"/>
        <v>105.62468533970288</v>
      </c>
      <c r="L324" s="42">
        <f t="shared" si="118"/>
        <v>101.41497280040839</v>
      </c>
      <c r="M324" s="42">
        <f t="shared" si="118"/>
        <v>101.72005359056804</v>
      </c>
      <c r="N324" s="42">
        <f t="shared" si="118"/>
        <v>101.72005359056804</v>
      </c>
      <c r="O324" s="42">
        <f t="shared" si="118"/>
        <v>101.72005359056804</v>
      </c>
      <c r="P324" s="42">
        <f t="shared" si="118"/>
        <v>102.55558697952141</v>
      </c>
      <c r="Q324" s="42">
        <f t="shared" si="118"/>
        <v>94.51337488584258</v>
      </c>
      <c r="R324" s="42">
        <f t="shared" si="118"/>
        <v>93.895434083601288</v>
      </c>
      <c r="S324" s="42">
        <f t="shared" si="118"/>
        <v>93.895434083601288</v>
      </c>
      <c r="T324" s="42">
        <f t="shared" si="118"/>
        <v>120.98065545387092</v>
      </c>
      <c r="U324" s="42">
        <f t="shared" si="118"/>
        <v>0</v>
      </c>
      <c r="V324" s="42">
        <f t="shared" si="118"/>
        <v>0</v>
      </c>
      <c r="W324" s="42">
        <f t="shared" si="118"/>
        <v>0</v>
      </c>
      <c r="X324" s="42">
        <f t="shared" si="118"/>
        <v>0</v>
      </c>
      <c r="Y324" s="42">
        <f t="shared" si="118"/>
        <v>0</v>
      </c>
      <c r="Z324" s="42">
        <f t="shared" si="118"/>
        <v>0</v>
      </c>
      <c r="AA324" s="42">
        <f t="shared" si="118"/>
        <v>0</v>
      </c>
      <c r="AB324" s="42">
        <f t="shared" si="118"/>
        <v>0</v>
      </c>
      <c r="AC324" s="42">
        <f t="shared" si="118"/>
        <v>0</v>
      </c>
      <c r="AD324" s="42">
        <f t="shared" si="118"/>
        <v>0</v>
      </c>
    </row>
    <row r="325" spans="1:30" outlineLevel="1">
      <c r="A325" s="143" t="s">
        <v>394</v>
      </c>
      <c r="B325" s="13" t="s">
        <v>285</v>
      </c>
      <c r="C325" s="42">
        <f t="shared" si="117"/>
        <v>15.82591474602258</v>
      </c>
      <c r="D325" s="42">
        <f t="shared" ref="D325:AD325" si="119">D316/D320</f>
        <v>0</v>
      </c>
      <c r="E325" s="42">
        <f t="shared" si="119"/>
        <v>0</v>
      </c>
      <c r="F325" s="42">
        <f t="shared" si="119"/>
        <v>1.7728934835546823</v>
      </c>
      <c r="G325" s="42">
        <f t="shared" si="119"/>
        <v>3.164721066838625</v>
      </c>
      <c r="H325" s="42">
        <f t="shared" si="119"/>
        <v>3.3783678502691048</v>
      </c>
      <c r="I325" s="42">
        <f t="shared" si="119"/>
        <v>3.3783678502691048</v>
      </c>
      <c r="J325" s="42">
        <f t="shared" si="119"/>
        <v>3.4992469514205617</v>
      </c>
      <c r="K325" s="42">
        <f t="shared" si="119"/>
        <v>0.63231754367050064</v>
      </c>
      <c r="L325" s="42">
        <f t="shared" si="119"/>
        <v>0</v>
      </c>
      <c r="M325" s="42">
        <f t="shared" si="119"/>
        <v>0</v>
      </c>
      <c r="N325" s="42">
        <f t="shared" si="119"/>
        <v>0</v>
      </c>
      <c r="O325" s="42">
        <f t="shared" si="119"/>
        <v>0</v>
      </c>
      <c r="P325" s="42">
        <f t="shared" si="119"/>
        <v>0</v>
      </c>
      <c r="Q325" s="42">
        <f t="shared" si="119"/>
        <v>0</v>
      </c>
      <c r="R325" s="42">
        <f t="shared" si="119"/>
        <v>0</v>
      </c>
      <c r="S325" s="42">
        <f t="shared" si="119"/>
        <v>0</v>
      </c>
      <c r="T325" s="42">
        <f t="shared" si="119"/>
        <v>0</v>
      </c>
      <c r="U325" s="42">
        <f t="shared" si="119"/>
        <v>0</v>
      </c>
      <c r="V325" s="42">
        <f t="shared" si="119"/>
        <v>0</v>
      </c>
      <c r="W325" s="42">
        <f t="shared" si="119"/>
        <v>0</v>
      </c>
      <c r="X325" s="42">
        <f t="shared" si="119"/>
        <v>0</v>
      </c>
      <c r="Y325" s="42">
        <f t="shared" si="119"/>
        <v>0</v>
      </c>
      <c r="Z325" s="42">
        <f t="shared" si="119"/>
        <v>0</v>
      </c>
      <c r="AA325" s="42">
        <f t="shared" si="119"/>
        <v>0</v>
      </c>
      <c r="AB325" s="42">
        <f t="shared" si="119"/>
        <v>0</v>
      </c>
      <c r="AC325" s="42">
        <f t="shared" si="119"/>
        <v>0</v>
      </c>
      <c r="AD325" s="42">
        <f t="shared" si="119"/>
        <v>0</v>
      </c>
    </row>
    <row r="326" spans="1:30" outlineLevel="1">
      <c r="A326" s="143" t="s">
        <v>395</v>
      </c>
      <c r="B326" s="13" t="s">
        <v>285</v>
      </c>
      <c r="C326" s="42">
        <f t="shared" si="117"/>
        <v>1485.8122160000003</v>
      </c>
      <c r="D326" s="42">
        <f t="shared" ref="D326:AD326" si="120">D317/D320</f>
        <v>0</v>
      </c>
      <c r="E326" s="42">
        <f t="shared" si="120"/>
        <v>0</v>
      </c>
      <c r="F326" s="42">
        <f t="shared" si="120"/>
        <v>100.04448710059168</v>
      </c>
      <c r="G326" s="42">
        <f t="shared" si="120"/>
        <v>187.65920459171593</v>
      </c>
      <c r="H326" s="42">
        <f t="shared" si="120"/>
        <v>204.93961599999994</v>
      </c>
      <c r="I326" s="42">
        <f t="shared" si="120"/>
        <v>204.93961599999994</v>
      </c>
      <c r="J326" s="42">
        <f t="shared" si="120"/>
        <v>211.76083102958575</v>
      </c>
      <c r="K326" s="42">
        <f t="shared" si="120"/>
        <v>152.41626027218933</v>
      </c>
      <c r="L326" s="42">
        <f t="shared" si="120"/>
        <v>90.04003839053253</v>
      </c>
      <c r="M326" s="42">
        <f t="shared" si="120"/>
        <v>76.852356</v>
      </c>
      <c r="N326" s="42">
        <f t="shared" si="120"/>
        <v>76.852356</v>
      </c>
      <c r="O326" s="42">
        <f t="shared" si="120"/>
        <v>76.852356</v>
      </c>
      <c r="P326" s="42">
        <f t="shared" si="120"/>
        <v>103.45509461538461</v>
      </c>
      <c r="Q326" s="42">
        <f t="shared" si="120"/>
        <v>0</v>
      </c>
      <c r="R326" s="42">
        <f t="shared" si="120"/>
        <v>0</v>
      </c>
      <c r="S326" s="42">
        <f t="shared" si="120"/>
        <v>0</v>
      </c>
      <c r="T326" s="42">
        <f t="shared" si="120"/>
        <v>0</v>
      </c>
      <c r="U326" s="42">
        <f t="shared" si="120"/>
        <v>0</v>
      </c>
      <c r="V326" s="42">
        <f t="shared" si="120"/>
        <v>0</v>
      </c>
      <c r="W326" s="42">
        <f t="shared" si="120"/>
        <v>0</v>
      </c>
      <c r="X326" s="42">
        <f t="shared" si="120"/>
        <v>0</v>
      </c>
      <c r="Y326" s="42">
        <f t="shared" si="120"/>
        <v>0</v>
      </c>
      <c r="Z326" s="42">
        <f t="shared" si="120"/>
        <v>0</v>
      </c>
      <c r="AA326" s="42">
        <f t="shared" si="120"/>
        <v>0</v>
      </c>
      <c r="AB326" s="42">
        <f t="shared" si="120"/>
        <v>0</v>
      </c>
      <c r="AC326" s="42">
        <f t="shared" si="120"/>
        <v>0</v>
      </c>
      <c r="AD326" s="42">
        <f t="shared" si="120"/>
        <v>0</v>
      </c>
    </row>
    <row r="327" spans="1:30" ht="51" customHeight="1">
      <c r="A327" s="23" t="s">
        <v>94</v>
      </c>
      <c r="C327" s="42"/>
      <c r="D327" s="42"/>
      <c r="E327" s="42"/>
      <c r="F327" s="42"/>
      <c r="G327" s="42"/>
      <c r="H327" s="42"/>
      <c r="I327" s="42"/>
      <c r="J327" s="42"/>
      <c r="K327" s="42"/>
      <c r="L327" s="42"/>
      <c r="M327" s="42"/>
      <c r="N327" s="42"/>
      <c r="O327" s="42"/>
      <c r="P327" s="42"/>
      <c r="Q327" s="42"/>
      <c r="R327" s="42"/>
      <c r="S327" s="42"/>
      <c r="T327" s="42"/>
      <c r="U327" s="42"/>
      <c r="V327" s="42"/>
      <c r="W327" s="42"/>
      <c r="X327" s="42"/>
      <c r="Y327" s="42"/>
      <c r="Z327" s="42"/>
      <c r="AA327" s="42"/>
      <c r="AB327" s="42"/>
      <c r="AC327" s="42"/>
      <c r="AD327" s="42"/>
    </row>
    <row r="328" spans="1:30" outlineLevel="1">
      <c r="A328" s="13" t="str">
        <f>A321</f>
        <v>Revenue in A$ - High Case</v>
      </c>
      <c r="B328" s="13" t="str">
        <f>B321</f>
        <v>A$ million Real</v>
      </c>
      <c r="C328" s="42">
        <f>SUM(D328:AD328)</f>
        <v>13881.602729952219</v>
      </c>
      <c r="D328" s="42">
        <f t="shared" ref="D328:AD328" si="121">D321</f>
        <v>0</v>
      </c>
      <c r="E328" s="42">
        <f t="shared" si="121"/>
        <v>0</v>
      </c>
      <c r="F328" s="42">
        <f t="shared" si="121"/>
        <v>564.9896005125355</v>
      </c>
      <c r="G328" s="42">
        <f t="shared" si="121"/>
        <v>1017.6140828668771</v>
      </c>
      <c r="H328" s="42">
        <f t="shared" si="121"/>
        <v>1090.9238208385455</v>
      </c>
      <c r="I328" s="42">
        <f t="shared" si="121"/>
        <v>1090.9238208385455</v>
      </c>
      <c r="J328" s="42">
        <f t="shared" si="121"/>
        <v>1129.4458390553093</v>
      </c>
      <c r="K328" s="42">
        <f t="shared" si="121"/>
        <v>988.76825014708868</v>
      </c>
      <c r="L328" s="42">
        <f t="shared" si="121"/>
        <v>917.12485739056297</v>
      </c>
      <c r="M328" s="42">
        <f t="shared" si="121"/>
        <v>906.42524636801443</v>
      </c>
      <c r="N328" s="42">
        <f t="shared" si="121"/>
        <v>906.42524636801443</v>
      </c>
      <c r="O328" s="42">
        <f t="shared" si="121"/>
        <v>906.42524636801443</v>
      </c>
      <c r="P328" s="42">
        <f t="shared" si="121"/>
        <v>936.15299629543631</v>
      </c>
      <c r="Q328" s="42">
        <f t="shared" si="121"/>
        <v>803.00326271689619</v>
      </c>
      <c r="R328" s="42">
        <f t="shared" si="121"/>
        <v>797.75312239585696</v>
      </c>
      <c r="S328" s="42">
        <f t="shared" si="121"/>
        <v>797.75312239585696</v>
      </c>
      <c r="T328" s="42">
        <f t="shared" si="121"/>
        <v>1027.8742153946621</v>
      </c>
      <c r="U328" s="42">
        <f t="shared" si="121"/>
        <v>0</v>
      </c>
      <c r="V328" s="42">
        <f t="shared" si="121"/>
        <v>0</v>
      </c>
      <c r="W328" s="42">
        <f t="shared" si="121"/>
        <v>0</v>
      </c>
      <c r="X328" s="42">
        <f t="shared" si="121"/>
        <v>0</v>
      </c>
      <c r="Y328" s="42">
        <f t="shared" si="121"/>
        <v>0</v>
      </c>
      <c r="Z328" s="42">
        <f t="shared" si="121"/>
        <v>0</v>
      </c>
      <c r="AA328" s="42">
        <f t="shared" si="121"/>
        <v>0</v>
      </c>
      <c r="AB328" s="42">
        <f t="shared" si="121"/>
        <v>0</v>
      </c>
      <c r="AC328" s="42">
        <f t="shared" si="121"/>
        <v>0</v>
      </c>
      <c r="AD328" s="42">
        <f t="shared" si="121"/>
        <v>0</v>
      </c>
    </row>
    <row r="329" spans="1:30" outlineLevel="1">
      <c r="A329" s="45" t="str">
        <f>A640</f>
        <v>Product Logistics - copper &amp; moly</v>
      </c>
      <c r="B329" s="45" t="str">
        <f>B640</f>
        <v>A$ millions Real</v>
      </c>
      <c r="C329" s="42">
        <f>SUM(D329:AD329)</f>
        <v>187.39714272832299</v>
      </c>
      <c r="D329" s="42">
        <f t="shared" ref="D329:AD329" si="122">D640</f>
        <v>0</v>
      </c>
      <c r="E329" s="42">
        <f t="shared" si="122"/>
        <v>0</v>
      </c>
      <c r="F329" s="42">
        <f t="shared" si="122"/>
        <v>6.7191622828784103</v>
      </c>
      <c r="G329" s="42">
        <f t="shared" si="122"/>
        <v>12.106042769716632</v>
      </c>
      <c r="H329" s="42">
        <f t="shared" si="122"/>
        <v>13.03071389872923</v>
      </c>
      <c r="I329" s="42">
        <f t="shared" si="122"/>
        <v>13.126904283073312</v>
      </c>
      <c r="J329" s="42">
        <f t="shared" si="122"/>
        <v>13.695828470010417</v>
      </c>
      <c r="K329" s="42">
        <f t="shared" si="122"/>
        <v>12.550847128718924</v>
      </c>
      <c r="L329" s="42">
        <f t="shared" si="122"/>
        <v>12.397226588185079</v>
      </c>
      <c r="M329" s="42">
        <f t="shared" si="122"/>
        <v>12.489017625002909</v>
      </c>
      <c r="N329" s="42">
        <f t="shared" si="122"/>
        <v>12.581684627580735</v>
      </c>
      <c r="O329" s="42">
        <f t="shared" si="122"/>
        <v>12.675278300184337</v>
      </c>
      <c r="P329" s="42">
        <f t="shared" si="122"/>
        <v>12.885797405166786</v>
      </c>
      <c r="Q329" s="42">
        <f t="shared" si="122"/>
        <v>12.305783643842542</v>
      </c>
      <c r="R329" s="42">
        <f t="shared" si="122"/>
        <v>12.316493064573038</v>
      </c>
      <c r="S329" s="42">
        <f t="shared" si="122"/>
        <v>12.408570970129162</v>
      </c>
      <c r="T329" s="42">
        <f t="shared" si="122"/>
        <v>16.107791670531476</v>
      </c>
      <c r="U329" s="42">
        <f t="shared" si="122"/>
        <v>0</v>
      </c>
      <c r="V329" s="42">
        <f t="shared" si="122"/>
        <v>0</v>
      </c>
      <c r="W329" s="42">
        <f t="shared" si="122"/>
        <v>0</v>
      </c>
      <c r="X329" s="42">
        <f t="shared" si="122"/>
        <v>0</v>
      </c>
      <c r="Y329" s="42">
        <f t="shared" si="122"/>
        <v>0</v>
      </c>
      <c r="Z329" s="42">
        <f t="shared" si="122"/>
        <v>0</v>
      </c>
      <c r="AA329" s="42">
        <f t="shared" si="122"/>
        <v>0</v>
      </c>
      <c r="AB329" s="42">
        <f t="shared" si="122"/>
        <v>0</v>
      </c>
      <c r="AC329" s="42">
        <f t="shared" si="122"/>
        <v>0</v>
      </c>
      <c r="AD329" s="42">
        <f t="shared" si="122"/>
        <v>0</v>
      </c>
    </row>
    <row r="330" spans="1:30" s="14" customFormat="1" outlineLevel="1">
      <c r="A330" s="14" t="s">
        <v>398</v>
      </c>
      <c r="B330" s="14" t="s">
        <v>284</v>
      </c>
      <c r="C330" s="44">
        <f>SUM(D330:AD330)</f>
        <v>13694.205587223889</v>
      </c>
      <c r="D330" s="55">
        <f t="shared" ref="D330:AD330" si="123">MAX(0,D328-D329)</f>
        <v>0</v>
      </c>
      <c r="E330" s="55">
        <f t="shared" si="123"/>
        <v>0</v>
      </c>
      <c r="F330" s="55">
        <f t="shared" si="123"/>
        <v>558.27043822965709</v>
      </c>
      <c r="G330" s="55">
        <f t="shared" si="123"/>
        <v>1005.5080400971605</v>
      </c>
      <c r="H330" s="55">
        <f t="shared" si="123"/>
        <v>1077.8931069398163</v>
      </c>
      <c r="I330" s="55">
        <f t="shared" si="123"/>
        <v>1077.7969165554721</v>
      </c>
      <c r="J330" s="55">
        <f t="shared" si="123"/>
        <v>1115.7500105852989</v>
      </c>
      <c r="K330" s="55">
        <f t="shared" si="123"/>
        <v>976.21740301836974</v>
      </c>
      <c r="L330" s="55">
        <f t="shared" si="123"/>
        <v>904.72763080237792</v>
      </c>
      <c r="M330" s="55">
        <f t="shared" si="123"/>
        <v>893.9362287430115</v>
      </c>
      <c r="N330" s="55">
        <f t="shared" si="123"/>
        <v>893.84356174043364</v>
      </c>
      <c r="O330" s="55">
        <f t="shared" si="123"/>
        <v>893.74996806783008</v>
      </c>
      <c r="P330" s="55">
        <f t="shared" si="123"/>
        <v>923.26719889026947</v>
      </c>
      <c r="Q330" s="55">
        <f t="shared" si="123"/>
        <v>790.69747907305361</v>
      </c>
      <c r="R330" s="55">
        <f t="shared" si="123"/>
        <v>785.43662933128394</v>
      </c>
      <c r="S330" s="55">
        <f t="shared" si="123"/>
        <v>785.34455142572779</v>
      </c>
      <c r="T330" s="55">
        <f t="shared" si="123"/>
        <v>1011.7664237241306</v>
      </c>
      <c r="U330" s="55">
        <f t="shared" si="123"/>
        <v>0</v>
      </c>
      <c r="V330" s="55">
        <f t="shared" si="123"/>
        <v>0</v>
      </c>
      <c r="W330" s="55">
        <f t="shared" si="123"/>
        <v>0</v>
      </c>
      <c r="X330" s="55">
        <f t="shared" si="123"/>
        <v>0</v>
      </c>
      <c r="Y330" s="55">
        <f t="shared" si="123"/>
        <v>0</v>
      </c>
      <c r="Z330" s="55">
        <f t="shared" si="123"/>
        <v>0</v>
      </c>
      <c r="AA330" s="55">
        <f t="shared" si="123"/>
        <v>0</v>
      </c>
      <c r="AB330" s="55">
        <f t="shared" si="123"/>
        <v>0</v>
      </c>
      <c r="AC330" s="55">
        <f t="shared" si="123"/>
        <v>0</v>
      </c>
      <c r="AD330" s="55">
        <f t="shared" si="123"/>
        <v>0</v>
      </c>
    </row>
    <row r="331" spans="1:30" outlineLevel="1">
      <c r="C331" s="91"/>
      <c r="D331" s="42"/>
      <c r="E331" s="42"/>
      <c r="F331" s="42"/>
      <c r="G331" s="42"/>
      <c r="H331" s="42"/>
      <c r="I331" s="42"/>
      <c r="J331" s="42"/>
      <c r="K331" s="42"/>
      <c r="L331" s="42"/>
      <c r="M331" s="42"/>
      <c r="N331" s="42"/>
      <c r="O331" s="42"/>
      <c r="P331" s="42"/>
      <c r="Q331" s="42"/>
      <c r="R331" s="42"/>
      <c r="S331" s="42"/>
      <c r="T331" s="42"/>
      <c r="U331" s="42"/>
      <c r="V331" s="42"/>
      <c r="W331" s="42"/>
      <c r="X331" s="42"/>
      <c r="Y331" s="42"/>
      <c r="Z331" s="42"/>
      <c r="AA331" s="42"/>
      <c r="AB331" s="42"/>
      <c r="AC331" s="42"/>
      <c r="AD331" s="42"/>
    </row>
    <row r="332" spans="1:30" s="8" customFormat="1" ht="15.5" outlineLevel="1">
      <c r="A332" s="242" t="str">
        <f>'Expected NPV &amp; Common Data'!A$36</f>
        <v>Calendar Year --&gt;</v>
      </c>
      <c r="B332" s="243" t="str">
        <f>'Expected NPV &amp; Common Data'!B$36</f>
        <v>units</v>
      </c>
      <c r="C332" s="244" t="str">
        <f>'Expected NPV &amp; Common Data'!C$36</f>
        <v>Total</v>
      </c>
      <c r="D332" s="245">
        <f>'Expected NPV &amp; Common Data'!D$36</f>
        <v>2027</v>
      </c>
      <c r="E332" s="245">
        <f>'Expected NPV &amp; Common Data'!E$36</f>
        <v>2028</v>
      </c>
      <c r="F332" s="245">
        <f>'Expected NPV &amp; Common Data'!F$36</f>
        <v>2029</v>
      </c>
      <c r="G332" s="245">
        <f>'Expected NPV &amp; Common Data'!G$36</f>
        <v>2030</v>
      </c>
      <c r="H332" s="245">
        <f>'Expected NPV &amp; Common Data'!H$36</f>
        <v>2031</v>
      </c>
      <c r="I332" s="245">
        <f>'Expected NPV &amp; Common Data'!I$36</f>
        <v>2032</v>
      </c>
      <c r="J332" s="245">
        <f>'Expected NPV &amp; Common Data'!J$36</f>
        <v>2033</v>
      </c>
      <c r="K332" s="245">
        <f>'Expected NPV &amp; Common Data'!K$36</f>
        <v>2034</v>
      </c>
      <c r="L332" s="245">
        <f>'Expected NPV &amp; Common Data'!L$36</f>
        <v>2035</v>
      </c>
      <c r="M332" s="245">
        <f>'Expected NPV &amp; Common Data'!M$36</f>
        <v>2036</v>
      </c>
      <c r="N332" s="245">
        <f>'Expected NPV &amp; Common Data'!N$36</f>
        <v>2037</v>
      </c>
      <c r="O332" s="245">
        <f>'Expected NPV &amp; Common Data'!O$36</f>
        <v>2038</v>
      </c>
      <c r="P332" s="245">
        <f>'Expected NPV &amp; Common Data'!P$36</f>
        <v>2039</v>
      </c>
      <c r="Q332" s="245">
        <f>'Expected NPV &amp; Common Data'!Q$36</f>
        <v>2040</v>
      </c>
      <c r="R332" s="245">
        <f>'Expected NPV &amp; Common Data'!R$36</f>
        <v>2041</v>
      </c>
      <c r="S332" s="245">
        <f>'Expected NPV &amp; Common Data'!S$36</f>
        <v>2042</v>
      </c>
      <c r="T332" s="245">
        <f>'Expected NPV &amp; Common Data'!T$36</f>
        <v>2043</v>
      </c>
      <c r="U332" s="245">
        <f>'Expected NPV &amp; Common Data'!U$36</f>
        <v>2044</v>
      </c>
      <c r="V332" s="245">
        <f>'Expected NPV &amp; Common Data'!V$36</f>
        <v>2045</v>
      </c>
      <c r="W332" s="245">
        <f>'Expected NPV &amp; Common Data'!W$36</f>
        <v>2046</v>
      </c>
      <c r="X332" s="245">
        <f>'Expected NPV &amp; Common Data'!X$36</f>
        <v>2047</v>
      </c>
      <c r="Y332" s="245">
        <f>'Expected NPV &amp; Common Data'!Y$36</f>
        <v>2048</v>
      </c>
      <c r="Z332" s="245">
        <f>'Expected NPV &amp; Common Data'!Z$36</f>
        <v>2049</v>
      </c>
      <c r="AA332" s="245">
        <f>'Expected NPV &amp; Common Data'!AA$36</f>
        <v>2050</v>
      </c>
      <c r="AB332" s="245">
        <f>'Expected NPV &amp; Common Data'!AB$36</f>
        <v>2051</v>
      </c>
      <c r="AC332" s="245">
        <f>'Expected NPV &amp; Common Data'!AC$36</f>
        <v>2052</v>
      </c>
      <c r="AD332" s="245">
        <f>'Expected NPV &amp; Common Data'!AD$36</f>
        <v>2053</v>
      </c>
    </row>
    <row r="333" spans="1:30" s="32" customFormat="1" ht="53.25" customHeight="1">
      <c r="A333" s="21" t="s">
        <v>12</v>
      </c>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3"/>
      <c r="AD333" s="33"/>
    </row>
    <row r="334" spans="1:30" ht="28.25" customHeight="1" outlineLevel="1">
      <c r="A334" s="23" t="s">
        <v>286</v>
      </c>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c r="AD334" s="15"/>
    </row>
    <row r="335" spans="1:30" s="134" customFormat="1" outlineLevel="1">
      <c r="A335" s="134" t="s">
        <v>550</v>
      </c>
      <c r="C335" s="259"/>
      <c r="D335" s="259"/>
      <c r="E335" s="259"/>
      <c r="F335" s="259"/>
      <c r="G335" s="259"/>
      <c r="H335" s="259"/>
      <c r="I335" s="259"/>
      <c r="J335" s="259"/>
      <c r="K335" s="259"/>
      <c r="L335" s="259"/>
      <c r="M335" s="259"/>
      <c r="N335" s="259"/>
      <c r="O335" s="259"/>
      <c r="P335" s="259"/>
      <c r="Q335" s="259"/>
      <c r="R335" s="259"/>
      <c r="S335" s="259"/>
      <c r="T335" s="259"/>
      <c r="U335" s="259"/>
      <c r="V335" s="259"/>
      <c r="W335" s="259"/>
      <c r="X335" s="259"/>
      <c r="Y335" s="259"/>
      <c r="Z335" s="259"/>
      <c r="AA335" s="259"/>
      <c r="AB335" s="259"/>
      <c r="AC335" s="259"/>
      <c r="AD335" s="259"/>
    </row>
    <row r="336" spans="1:30" s="265" customFormat="1" outlineLevel="1">
      <c r="A336" s="265" t="s">
        <v>580</v>
      </c>
      <c r="C336" s="266"/>
      <c r="D336" s="266"/>
      <c r="E336" s="266"/>
      <c r="F336" s="266"/>
      <c r="G336" s="266"/>
      <c r="H336" s="266"/>
      <c r="I336" s="266"/>
      <c r="J336" s="266"/>
      <c r="K336" s="266"/>
      <c r="L336" s="266"/>
      <c r="M336" s="266"/>
      <c r="N336" s="266"/>
      <c r="O336" s="266"/>
      <c r="P336" s="266"/>
      <c r="Q336" s="266"/>
      <c r="R336" s="266"/>
      <c r="S336" s="266"/>
      <c r="T336" s="266"/>
      <c r="U336" s="266"/>
      <c r="V336" s="266"/>
      <c r="W336" s="266"/>
      <c r="X336" s="266"/>
      <c r="Y336" s="266"/>
      <c r="Z336" s="266"/>
      <c r="AA336" s="266"/>
      <c r="AB336" s="266"/>
      <c r="AC336" s="266"/>
      <c r="AD336" s="266"/>
    </row>
    <row r="337" spans="1:30" s="265" customFormat="1" outlineLevel="1">
      <c r="A337" s="265" t="s">
        <v>581</v>
      </c>
      <c r="C337" s="266"/>
      <c r="D337" s="266"/>
      <c r="E337" s="266"/>
      <c r="F337" s="266"/>
      <c r="G337" s="266"/>
      <c r="H337" s="266"/>
      <c r="I337" s="266"/>
      <c r="J337" s="266"/>
      <c r="K337" s="266"/>
      <c r="L337" s="266"/>
      <c r="M337" s="266"/>
      <c r="N337" s="266"/>
      <c r="O337" s="266"/>
      <c r="P337" s="266"/>
      <c r="Q337" s="266"/>
      <c r="R337" s="266"/>
      <c r="S337" s="266"/>
      <c r="T337" s="266"/>
      <c r="U337" s="266"/>
      <c r="V337" s="266"/>
      <c r="W337" s="266"/>
      <c r="X337" s="266"/>
      <c r="Y337" s="266"/>
      <c r="Z337" s="266"/>
      <c r="AA337" s="266"/>
      <c r="AB337" s="266"/>
      <c r="AC337" s="266"/>
      <c r="AD337" s="266"/>
    </row>
    <row r="338" spans="1:30" outlineLevel="1">
      <c r="A338" s="214" t="s">
        <v>440</v>
      </c>
      <c r="B338" s="13" t="s">
        <v>285</v>
      </c>
      <c r="C338" s="44">
        <f t="shared" ref="C338:C346" si="124">SUM(D338:AD338)</f>
        <v>40</v>
      </c>
      <c r="D338" s="219">
        <v>10</v>
      </c>
      <c r="E338" s="219">
        <v>30</v>
      </c>
      <c r="F338" s="219"/>
      <c r="G338" s="141"/>
    </row>
    <row r="339" spans="1:30" outlineLevel="1">
      <c r="A339" s="214" t="s">
        <v>266</v>
      </c>
      <c r="B339" s="13" t="s">
        <v>285</v>
      </c>
      <c r="C339" s="44">
        <f t="shared" ref="C339" si="125">SUM(D339:AD339)</f>
        <v>120</v>
      </c>
      <c r="D339" s="219">
        <v>50</v>
      </c>
      <c r="E339" s="219">
        <v>60</v>
      </c>
      <c r="F339" s="219">
        <v>10</v>
      </c>
      <c r="G339" s="141"/>
    </row>
    <row r="340" spans="1:30" outlineLevel="1">
      <c r="A340" s="214" t="s">
        <v>267</v>
      </c>
      <c r="B340" s="13" t="s">
        <v>285</v>
      </c>
      <c r="C340" s="44">
        <f t="shared" si="124"/>
        <v>440</v>
      </c>
      <c r="D340" s="219">
        <v>130</v>
      </c>
      <c r="E340" s="219">
        <v>290</v>
      </c>
      <c r="F340" s="219">
        <v>20</v>
      </c>
      <c r="G340" s="141"/>
    </row>
    <row r="341" spans="1:30" outlineLevel="1">
      <c r="A341" s="214" t="s">
        <v>269</v>
      </c>
      <c r="B341" s="13" t="s">
        <v>285</v>
      </c>
      <c r="C341" s="44">
        <f t="shared" si="124"/>
        <v>83</v>
      </c>
      <c r="D341" s="219">
        <v>30</v>
      </c>
      <c r="E341" s="219">
        <v>45</v>
      </c>
      <c r="F341" s="219">
        <v>8</v>
      </c>
      <c r="G341" s="141"/>
    </row>
    <row r="342" spans="1:30" outlineLevel="1">
      <c r="A342" s="214" t="s">
        <v>270</v>
      </c>
      <c r="B342" s="13" t="s">
        <v>285</v>
      </c>
      <c r="C342" s="44">
        <f t="shared" si="124"/>
        <v>12</v>
      </c>
      <c r="D342" s="219"/>
      <c r="E342" s="219"/>
      <c r="F342" s="219">
        <v>12</v>
      </c>
      <c r="G342" s="141"/>
    </row>
    <row r="343" spans="1:30" outlineLevel="1">
      <c r="A343" s="214" t="s">
        <v>268</v>
      </c>
      <c r="B343" s="13" t="s">
        <v>285</v>
      </c>
      <c r="C343" s="44">
        <f>SUM(D343:AD343)</f>
        <v>56</v>
      </c>
      <c r="D343" s="219">
        <v>20</v>
      </c>
      <c r="E343" s="219">
        <v>30</v>
      </c>
      <c r="F343" s="219">
        <v>6</v>
      </c>
      <c r="G343" s="141"/>
    </row>
    <row r="344" spans="1:30" outlineLevel="1">
      <c r="A344" s="214" t="s">
        <v>436</v>
      </c>
      <c r="B344" s="13" t="s">
        <v>285</v>
      </c>
      <c r="C344" s="44">
        <f t="shared" si="124"/>
        <v>77</v>
      </c>
      <c r="D344" s="219">
        <v>25</v>
      </c>
      <c r="E344" s="219">
        <v>45</v>
      </c>
      <c r="F344" s="219">
        <v>7</v>
      </c>
      <c r="G344" s="141"/>
    </row>
    <row r="345" spans="1:30" outlineLevel="1">
      <c r="A345" s="214" t="s">
        <v>271</v>
      </c>
      <c r="B345" s="13" t="s">
        <v>285</v>
      </c>
      <c r="C345" s="44">
        <f t="shared" si="124"/>
        <v>0</v>
      </c>
      <c r="D345" s="219"/>
      <c r="E345" s="219"/>
      <c r="F345" s="219"/>
    </row>
    <row r="346" spans="1:30" s="14" customFormat="1" outlineLevel="1">
      <c r="A346" s="14" t="s">
        <v>626</v>
      </c>
      <c r="B346" s="13" t="s">
        <v>285</v>
      </c>
      <c r="C346" s="44">
        <f t="shared" si="124"/>
        <v>828</v>
      </c>
      <c r="D346" s="55">
        <f t="shared" ref="D346:AD346" si="126">SUM(D338:D345)</f>
        <v>265</v>
      </c>
      <c r="E346" s="55">
        <f t="shared" si="126"/>
        <v>500</v>
      </c>
      <c r="F346" s="55">
        <f t="shared" si="126"/>
        <v>63</v>
      </c>
      <c r="G346" s="55">
        <f t="shared" si="126"/>
        <v>0</v>
      </c>
      <c r="H346" s="55">
        <f t="shared" si="126"/>
        <v>0</v>
      </c>
      <c r="I346" s="55">
        <f t="shared" si="126"/>
        <v>0</v>
      </c>
      <c r="J346" s="55">
        <f t="shared" si="126"/>
        <v>0</v>
      </c>
      <c r="K346" s="55">
        <f t="shared" si="126"/>
        <v>0</v>
      </c>
      <c r="L346" s="55">
        <f t="shared" si="126"/>
        <v>0</v>
      </c>
      <c r="M346" s="55">
        <f t="shared" si="126"/>
        <v>0</v>
      </c>
      <c r="N346" s="55">
        <f t="shared" si="126"/>
        <v>0</v>
      </c>
      <c r="O346" s="55">
        <f t="shared" si="126"/>
        <v>0</v>
      </c>
      <c r="P346" s="55">
        <f t="shared" si="126"/>
        <v>0</v>
      </c>
      <c r="Q346" s="55">
        <f t="shared" si="126"/>
        <v>0</v>
      </c>
      <c r="R346" s="55">
        <f t="shared" si="126"/>
        <v>0</v>
      </c>
      <c r="S346" s="55">
        <f t="shared" si="126"/>
        <v>0</v>
      </c>
      <c r="T346" s="55">
        <f t="shared" si="126"/>
        <v>0</v>
      </c>
      <c r="U346" s="55">
        <f t="shared" si="126"/>
        <v>0</v>
      </c>
      <c r="V346" s="55">
        <f t="shared" si="126"/>
        <v>0</v>
      </c>
      <c r="W346" s="55">
        <f t="shared" si="126"/>
        <v>0</v>
      </c>
      <c r="X346" s="55">
        <f t="shared" si="126"/>
        <v>0</v>
      </c>
      <c r="Y346" s="55">
        <f t="shared" si="126"/>
        <v>0</v>
      </c>
      <c r="Z346" s="55">
        <f t="shared" si="126"/>
        <v>0</v>
      </c>
      <c r="AA346" s="55">
        <f t="shared" si="126"/>
        <v>0</v>
      </c>
      <c r="AB346" s="55">
        <f t="shared" si="126"/>
        <v>0</v>
      </c>
      <c r="AC346" s="55">
        <f t="shared" si="126"/>
        <v>0</v>
      </c>
      <c r="AD346" s="55">
        <f t="shared" si="126"/>
        <v>0</v>
      </c>
    </row>
    <row r="347" spans="1:30" ht="33" customHeight="1" outlineLevel="1">
      <c r="A347" s="23" t="s">
        <v>287</v>
      </c>
      <c r="C347" s="133"/>
      <c r="D347" s="15"/>
      <c r="E347" s="15"/>
      <c r="F347" s="15"/>
      <c r="G347" s="15"/>
      <c r="H347" s="15"/>
      <c r="I347" s="15"/>
      <c r="J347" s="15"/>
      <c r="K347" s="15"/>
      <c r="L347" s="15"/>
      <c r="M347" s="15"/>
      <c r="N347" s="15"/>
      <c r="O347" s="15"/>
      <c r="P347" s="15"/>
      <c r="Q347" s="15"/>
      <c r="R347" s="15"/>
      <c r="S347" s="15"/>
      <c r="T347" s="15"/>
      <c r="U347" s="15"/>
      <c r="V347" s="15"/>
      <c r="W347" s="15"/>
      <c r="X347" s="15"/>
      <c r="Y347" s="15"/>
      <c r="Z347" s="15"/>
      <c r="AA347" s="15"/>
      <c r="AB347" s="15"/>
      <c r="AC347" s="15"/>
      <c r="AD347" s="15"/>
    </row>
    <row r="348" spans="1:30" outlineLevel="1">
      <c r="A348" s="265" t="s">
        <v>551</v>
      </c>
      <c r="C348" s="38"/>
    </row>
    <row r="349" spans="1:30" outlineLevel="1">
      <c r="A349" s="214" t="s">
        <v>272</v>
      </c>
      <c r="B349" s="214" t="s">
        <v>273</v>
      </c>
      <c r="C349" s="215"/>
      <c r="D349" s="220">
        <v>0.03</v>
      </c>
      <c r="E349" s="220">
        <f t="shared" ref="E349:AD349" si="127">D349</f>
        <v>0.03</v>
      </c>
      <c r="F349" s="220">
        <f t="shared" si="127"/>
        <v>0.03</v>
      </c>
      <c r="G349" s="220">
        <f t="shared" si="127"/>
        <v>0.03</v>
      </c>
      <c r="H349" s="220">
        <f t="shared" si="127"/>
        <v>0.03</v>
      </c>
      <c r="I349" s="220">
        <f t="shared" si="127"/>
        <v>0.03</v>
      </c>
      <c r="J349" s="220">
        <f t="shared" si="127"/>
        <v>0.03</v>
      </c>
      <c r="K349" s="220">
        <f t="shared" si="127"/>
        <v>0.03</v>
      </c>
      <c r="L349" s="220">
        <f t="shared" si="127"/>
        <v>0.03</v>
      </c>
      <c r="M349" s="220">
        <f t="shared" si="127"/>
        <v>0.03</v>
      </c>
      <c r="N349" s="220">
        <f t="shared" si="127"/>
        <v>0.03</v>
      </c>
      <c r="O349" s="220">
        <f t="shared" si="127"/>
        <v>0.03</v>
      </c>
      <c r="P349" s="220">
        <f t="shared" si="127"/>
        <v>0.03</v>
      </c>
      <c r="Q349" s="220">
        <f t="shared" si="127"/>
        <v>0.03</v>
      </c>
      <c r="R349" s="220">
        <f t="shared" si="127"/>
        <v>0.03</v>
      </c>
      <c r="S349" s="220">
        <f t="shared" si="127"/>
        <v>0.03</v>
      </c>
      <c r="T349" s="220">
        <f t="shared" si="127"/>
        <v>0.03</v>
      </c>
      <c r="U349" s="220">
        <f t="shared" si="127"/>
        <v>0.03</v>
      </c>
      <c r="V349" s="220">
        <f t="shared" si="127"/>
        <v>0.03</v>
      </c>
      <c r="W349" s="220">
        <f t="shared" si="127"/>
        <v>0.03</v>
      </c>
      <c r="X349" s="220">
        <f t="shared" si="127"/>
        <v>0.03</v>
      </c>
      <c r="Y349" s="220">
        <f t="shared" si="127"/>
        <v>0.03</v>
      </c>
      <c r="Z349" s="220">
        <f t="shared" si="127"/>
        <v>0.03</v>
      </c>
      <c r="AA349" s="220">
        <f t="shared" si="127"/>
        <v>0.03</v>
      </c>
      <c r="AB349" s="220">
        <f t="shared" si="127"/>
        <v>0.03</v>
      </c>
      <c r="AC349" s="220">
        <f t="shared" si="127"/>
        <v>0.03</v>
      </c>
      <c r="AD349" s="220">
        <f t="shared" si="127"/>
        <v>0.03</v>
      </c>
    </row>
    <row r="350" spans="1:30">
      <c r="A350" s="45" t="str">
        <f>A349</f>
        <v>ongoing capex - general</v>
      </c>
      <c r="C350" s="42">
        <f>SUM(D350:AD350)</f>
        <v>372.59999999999991</v>
      </c>
      <c r="D350" s="42">
        <f t="shared" ref="D350:AD350" si="128">IF(D154=0,0,D349*$C346)</f>
        <v>0</v>
      </c>
      <c r="E350" s="42">
        <f t="shared" si="128"/>
        <v>0</v>
      </c>
      <c r="F350" s="42">
        <f t="shared" si="128"/>
        <v>24.84</v>
      </c>
      <c r="G350" s="42">
        <f t="shared" si="128"/>
        <v>24.84</v>
      </c>
      <c r="H350" s="42">
        <f t="shared" si="128"/>
        <v>24.84</v>
      </c>
      <c r="I350" s="42">
        <f t="shared" si="128"/>
        <v>24.84</v>
      </c>
      <c r="J350" s="42">
        <f t="shared" si="128"/>
        <v>24.84</v>
      </c>
      <c r="K350" s="42">
        <f t="shared" si="128"/>
        <v>24.84</v>
      </c>
      <c r="L350" s="42">
        <f t="shared" si="128"/>
        <v>24.84</v>
      </c>
      <c r="M350" s="42">
        <f t="shared" si="128"/>
        <v>24.84</v>
      </c>
      <c r="N350" s="42">
        <f t="shared" si="128"/>
        <v>24.84</v>
      </c>
      <c r="O350" s="42">
        <f t="shared" si="128"/>
        <v>24.84</v>
      </c>
      <c r="P350" s="42">
        <f t="shared" si="128"/>
        <v>24.84</v>
      </c>
      <c r="Q350" s="42">
        <f t="shared" si="128"/>
        <v>24.84</v>
      </c>
      <c r="R350" s="42">
        <f t="shared" si="128"/>
        <v>24.84</v>
      </c>
      <c r="S350" s="42">
        <f t="shared" si="128"/>
        <v>24.84</v>
      </c>
      <c r="T350" s="42">
        <f t="shared" si="128"/>
        <v>24.84</v>
      </c>
      <c r="U350" s="42">
        <f t="shared" si="128"/>
        <v>0</v>
      </c>
      <c r="V350" s="42">
        <f t="shared" si="128"/>
        <v>0</v>
      </c>
      <c r="W350" s="42">
        <f t="shared" si="128"/>
        <v>0</v>
      </c>
      <c r="X350" s="42">
        <f t="shared" si="128"/>
        <v>0</v>
      </c>
      <c r="Y350" s="42">
        <f t="shared" si="128"/>
        <v>0</v>
      </c>
      <c r="Z350" s="42">
        <f t="shared" si="128"/>
        <v>0</v>
      </c>
      <c r="AA350" s="42">
        <f t="shared" si="128"/>
        <v>0</v>
      </c>
      <c r="AB350" s="42">
        <f t="shared" si="128"/>
        <v>0</v>
      </c>
      <c r="AC350" s="42">
        <f t="shared" si="128"/>
        <v>0</v>
      </c>
      <c r="AD350" s="42">
        <f t="shared" si="128"/>
        <v>0</v>
      </c>
    </row>
    <row r="351" spans="1:30">
      <c r="C351" s="44"/>
      <c r="D351" s="42"/>
      <c r="E351" s="42"/>
      <c r="F351" s="42"/>
      <c r="G351" s="42"/>
      <c r="H351" s="42"/>
      <c r="I351" s="42"/>
      <c r="J351" s="42"/>
      <c r="K351" s="42"/>
      <c r="L351" s="42"/>
      <c r="M351" s="42"/>
      <c r="N351" s="42"/>
      <c r="O351" s="42"/>
      <c r="P351" s="42"/>
      <c r="Q351" s="42"/>
      <c r="R351" s="42"/>
      <c r="S351" s="42"/>
      <c r="T351" s="42"/>
      <c r="U351" s="42"/>
      <c r="V351" s="42"/>
      <c r="W351" s="42"/>
      <c r="X351" s="42"/>
      <c r="Y351" s="42"/>
      <c r="Z351" s="42"/>
      <c r="AA351" s="42"/>
      <c r="AB351" s="42"/>
      <c r="AC351" s="42"/>
      <c r="AD351" s="42"/>
    </row>
    <row r="352" spans="1:30" outlineLevel="1">
      <c r="A352" s="214" t="s">
        <v>221</v>
      </c>
      <c r="B352" s="13" t="s">
        <v>285</v>
      </c>
      <c r="C352" s="42">
        <f>SUM(D352:AD352)</f>
        <v>60</v>
      </c>
      <c r="D352" s="219"/>
      <c r="E352" s="219"/>
      <c r="F352" s="219"/>
      <c r="G352" s="219"/>
      <c r="H352" s="219"/>
      <c r="I352" s="219">
        <v>25</v>
      </c>
      <c r="J352" s="219"/>
      <c r="K352" s="219"/>
      <c r="L352" s="219"/>
      <c r="M352" s="219">
        <v>20</v>
      </c>
      <c r="N352" s="219"/>
      <c r="O352" s="219"/>
      <c r="P352" s="219"/>
      <c r="Q352" s="219">
        <v>15</v>
      </c>
      <c r="R352" s="219"/>
      <c r="S352" s="219"/>
      <c r="T352" s="219"/>
      <c r="U352" s="219"/>
      <c r="V352" s="219"/>
      <c r="W352" s="219"/>
      <c r="X352" s="219"/>
      <c r="Y352" s="219"/>
      <c r="Z352" s="219"/>
      <c r="AA352" s="219"/>
      <c r="AB352" s="219"/>
      <c r="AC352" s="219"/>
      <c r="AD352" s="219"/>
    </row>
    <row r="353" spans="1:30" outlineLevel="1">
      <c r="A353" s="214"/>
      <c r="C353" s="42"/>
      <c r="D353" s="219"/>
      <c r="E353" s="219"/>
      <c r="F353" s="219"/>
      <c r="G353" s="219"/>
      <c r="H353" s="219"/>
      <c r="I353" s="219"/>
      <c r="J353" s="219"/>
      <c r="K353" s="219"/>
      <c r="L353" s="219"/>
      <c r="M353" s="219"/>
      <c r="N353" s="219"/>
      <c r="O353" s="219"/>
      <c r="P353" s="219"/>
      <c r="Q353" s="219"/>
      <c r="R353" s="219"/>
      <c r="S353" s="219"/>
      <c r="T353" s="219"/>
      <c r="U353" s="219"/>
      <c r="V353" s="219"/>
      <c r="W353" s="219"/>
      <c r="X353" s="219"/>
      <c r="Y353" s="219"/>
      <c r="Z353" s="219"/>
      <c r="AA353" s="219"/>
      <c r="AB353" s="219"/>
      <c r="AC353" s="219"/>
      <c r="AD353" s="219"/>
    </row>
    <row r="354" spans="1:30" s="14" customFormat="1" outlineLevel="1">
      <c r="A354" s="14" t="s">
        <v>122</v>
      </c>
      <c r="B354" s="13" t="s">
        <v>285</v>
      </c>
      <c r="C354" s="44">
        <f>SUM(D354:AD354)</f>
        <v>432.59999999999985</v>
      </c>
      <c r="D354" s="55">
        <f t="shared" ref="D354:AD354" si="129">D350+D352</f>
        <v>0</v>
      </c>
      <c r="E354" s="55">
        <f t="shared" si="129"/>
        <v>0</v>
      </c>
      <c r="F354" s="55">
        <f t="shared" si="129"/>
        <v>24.84</v>
      </c>
      <c r="G354" s="55">
        <f t="shared" si="129"/>
        <v>24.84</v>
      </c>
      <c r="H354" s="55">
        <f t="shared" si="129"/>
        <v>24.84</v>
      </c>
      <c r="I354" s="55">
        <f t="shared" si="129"/>
        <v>49.84</v>
      </c>
      <c r="J354" s="55">
        <f t="shared" si="129"/>
        <v>24.84</v>
      </c>
      <c r="K354" s="55">
        <f t="shared" si="129"/>
        <v>24.84</v>
      </c>
      <c r="L354" s="55">
        <f t="shared" si="129"/>
        <v>24.84</v>
      </c>
      <c r="M354" s="55">
        <f t="shared" si="129"/>
        <v>44.84</v>
      </c>
      <c r="N354" s="55">
        <f t="shared" si="129"/>
        <v>24.84</v>
      </c>
      <c r="O354" s="55">
        <f t="shared" si="129"/>
        <v>24.84</v>
      </c>
      <c r="P354" s="55">
        <f t="shared" si="129"/>
        <v>24.84</v>
      </c>
      <c r="Q354" s="55">
        <f t="shared" si="129"/>
        <v>39.840000000000003</v>
      </c>
      <c r="R354" s="55">
        <f t="shared" si="129"/>
        <v>24.84</v>
      </c>
      <c r="S354" s="55">
        <f t="shared" si="129"/>
        <v>24.84</v>
      </c>
      <c r="T354" s="55">
        <f t="shared" si="129"/>
        <v>24.84</v>
      </c>
      <c r="U354" s="55">
        <f t="shared" si="129"/>
        <v>0</v>
      </c>
      <c r="V354" s="55">
        <f t="shared" si="129"/>
        <v>0</v>
      </c>
      <c r="W354" s="55">
        <f t="shared" si="129"/>
        <v>0</v>
      </c>
      <c r="X354" s="55">
        <f t="shared" si="129"/>
        <v>0</v>
      </c>
      <c r="Y354" s="55">
        <f t="shared" si="129"/>
        <v>0</v>
      </c>
      <c r="Z354" s="55">
        <f t="shared" si="129"/>
        <v>0</v>
      </c>
      <c r="AA354" s="55">
        <f t="shared" si="129"/>
        <v>0</v>
      </c>
      <c r="AB354" s="55">
        <f t="shared" si="129"/>
        <v>0</v>
      </c>
      <c r="AC354" s="55">
        <f t="shared" si="129"/>
        <v>0</v>
      </c>
      <c r="AD354" s="55">
        <f t="shared" si="129"/>
        <v>0</v>
      </c>
    </row>
    <row r="355" spans="1:30" s="14" customFormat="1" outlineLevel="1">
      <c r="B355" s="13"/>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c r="AA355" s="44"/>
      <c r="AB355" s="44"/>
      <c r="AC355" s="44"/>
      <c r="AD355" s="44"/>
    </row>
    <row r="356" spans="1:30" s="14" customFormat="1" outlineLevel="1">
      <c r="A356" s="14" t="s">
        <v>288</v>
      </c>
      <c r="B356" s="13" t="s">
        <v>285</v>
      </c>
      <c r="C356" s="44">
        <f>SUM(D356:AD356)</f>
        <v>1260.5999999999995</v>
      </c>
      <c r="D356" s="55">
        <f t="shared" ref="D356:AD356" si="130">D346+D354</f>
        <v>265</v>
      </c>
      <c r="E356" s="55">
        <f t="shared" si="130"/>
        <v>500</v>
      </c>
      <c r="F356" s="55">
        <f t="shared" si="130"/>
        <v>87.84</v>
      </c>
      <c r="G356" s="55">
        <f t="shared" si="130"/>
        <v>24.84</v>
      </c>
      <c r="H356" s="55">
        <f t="shared" si="130"/>
        <v>24.84</v>
      </c>
      <c r="I356" s="55">
        <f t="shared" si="130"/>
        <v>49.84</v>
      </c>
      <c r="J356" s="55">
        <f t="shared" si="130"/>
        <v>24.84</v>
      </c>
      <c r="K356" s="55">
        <f t="shared" si="130"/>
        <v>24.84</v>
      </c>
      <c r="L356" s="55">
        <f t="shared" si="130"/>
        <v>24.84</v>
      </c>
      <c r="M356" s="55">
        <f t="shared" si="130"/>
        <v>44.84</v>
      </c>
      <c r="N356" s="55">
        <f t="shared" si="130"/>
        <v>24.84</v>
      </c>
      <c r="O356" s="55">
        <f t="shared" si="130"/>
        <v>24.84</v>
      </c>
      <c r="P356" s="55">
        <f t="shared" si="130"/>
        <v>24.84</v>
      </c>
      <c r="Q356" s="55">
        <f t="shared" si="130"/>
        <v>39.840000000000003</v>
      </c>
      <c r="R356" s="55">
        <f t="shared" si="130"/>
        <v>24.84</v>
      </c>
      <c r="S356" s="55">
        <f t="shared" si="130"/>
        <v>24.84</v>
      </c>
      <c r="T356" s="55">
        <f t="shared" si="130"/>
        <v>24.84</v>
      </c>
      <c r="U356" s="55">
        <f t="shared" si="130"/>
        <v>0</v>
      </c>
      <c r="V356" s="55">
        <f t="shared" si="130"/>
        <v>0</v>
      </c>
      <c r="W356" s="55">
        <f t="shared" si="130"/>
        <v>0</v>
      </c>
      <c r="X356" s="55">
        <f t="shared" si="130"/>
        <v>0</v>
      </c>
      <c r="Y356" s="55">
        <f t="shared" si="130"/>
        <v>0</v>
      </c>
      <c r="Z356" s="55">
        <f t="shared" si="130"/>
        <v>0</v>
      </c>
      <c r="AA356" s="55">
        <f t="shared" si="130"/>
        <v>0</v>
      </c>
      <c r="AB356" s="55">
        <f t="shared" si="130"/>
        <v>0</v>
      </c>
      <c r="AC356" s="55">
        <f t="shared" si="130"/>
        <v>0</v>
      </c>
      <c r="AD356" s="55">
        <f t="shared" si="130"/>
        <v>0</v>
      </c>
    </row>
    <row r="357" spans="1:30" outlineLevel="1">
      <c r="A357" s="144" t="str">
        <f>A$98</f>
        <v>Forex: A$ = US$  - High Case</v>
      </c>
      <c r="B357" s="142" t="str">
        <f>B$98</f>
        <v>A$1.00 = US$ ....</v>
      </c>
      <c r="C357" s="57"/>
      <c r="D357" s="57">
        <f t="shared" ref="D357:AD357" si="131">D$98</f>
        <v>0.9</v>
      </c>
      <c r="E357" s="57">
        <f t="shared" si="131"/>
        <v>0.9</v>
      </c>
      <c r="F357" s="57">
        <f t="shared" si="131"/>
        <v>0.9</v>
      </c>
      <c r="G357" s="57">
        <f t="shared" si="131"/>
        <v>0.9</v>
      </c>
      <c r="H357" s="57">
        <f t="shared" si="131"/>
        <v>0.9</v>
      </c>
      <c r="I357" s="57">
        <f t="shared" si="131"/>
        <v>0.9</v>
      </c>
      <c r="J357" s="57">
        <f t="shared" si="131"/>
        <v>0.9</v>
      </c>
      <c r="K357" s="57">
        <f t="shared" si="131"/>
        <v>0.9</v>
      </c>
      <c r="L357" s="57">
        <f t="shared" si="131"/>
        <v>0.9</v>
      </c>
      <c r="M357" s="57">
        <f t="shared" si="131"/>
        <v>0.9</v>
      </c>
      <c r="N357" s="57">
        <f t="shared" si="131"/>
        <v>0.9</v>
      </c>
      <c r="O357" s="57">
        <f t="shared" si="131"/>
        <v>0.9</v>
      </c>
      <c r="P357" s="57">
        <f t="shared" si="131"/>
        <v>0.9</v>
      </c>
      <c r="Q357" s="57">
        <f t="shared" si="131"/>
        <v>0.9</v>
      </c>
      <c r="R357" s="57">
        <f t="shared" si="131"/>
        <v>0.9</v>
      </c>
      <c r="S357" s="57">
        <f t="shared" si="131"/>
        <v>0.9</v>
      </c>
      <c r="T357" s="57">
        <f t="shared" si="131"/>
        <v>0.9</v>
      </c>
      <c r="U357" s="57">
        <f t="shared" si="131"/>
        <v>0.9</v>
      </c>
      <c r="V357" s="57">
        <f t="shared" si="131"/>
        <v>0.9</v>
      </c>
      <c r="W357" s="57">
        <f t="shared" si="131"/>
        <v>0.9</v>
      </c>
      <c r="X357" s="57">
        <f t="shared" si="131"/>
        <v>0.9</v>
      </c>
      <c r="Y357" s="57">
        <f t="shared" si="131"/>
        <v>0.9</v>
      </c>
      <c r="Z357" s="57">
        <f t="shared" si="131"/>
        <v>0.9</v>
      </c>
      <c r="AA357" s="57">
        <f t="shared" si="131"/>
        <v>0.9</v>
      </c>
      <c r="AB357" s="57">
        <f t="shared" si="131"/>
        <v>0.9</v>
      </c>
      <c r="AC357" s="57">
        <f t="shared" si="131"/>
        <v>0.9</v>
      </c>
      <c r="AD357" s="57">
        <f t="shared" si="131"/>
        <v>0.9</v>
      </c>
    </row>
    <row r="358" spans="1:30" outlineLevel="1">
      <c r="C358" s="94"/>
      <c r="D358" s="42"/>
      <c r="E358" s="42"/>
      <c r="F358" s="42"/>
      <c r="G358" s="42"/>
      <c r="H358" s="42"/>
      <c r="I358" s="42"/>
      <c r="J358" s="42"/>
      <c r="K358" s="42"/>
      <c r="L358" s="42"/>
      <c r="M358" s="42"/>
      <c r="N358" s="42"/>
      <c r="O358" s="42"/>
      <c r="P358" s="42"/>
      <c r="Q358" s="42"/>
      <c r="R358" s="42"/>
      <c r="S358" s="42"/>
      <c r="T358" s="42"/>
      <c r="U358" s="42"/>
      <c r="V358" s="42"/>
      <c r="W358" s="42"/>
      <c r="X358" s="42"/>
      <c r="Y358" s="42"/>
      <c r="Z358" s="42"/>
      <c r="AA358" s="42"/>
      <c r="AB358" s="42"/>
      <c r="AC358" s="42"/>
      <c r="AD358" s="42"/>
    </row>
    <row r="359" spans="1:30" s="25" customFormat="1" ht="37.25" customHeight="1">
      <c r="A359" s="26" t="str">
        <f>"Cashstream 2: Capital Costs - "&amp;A3</f>
        <v>Cashstream 2: Capital Costs - High Case</v>
      </c>
      <c r="B359" s="32" t="s">
        <v>82</v>
      </c>
      <c r="C359" s="27">
        <f>SUM(D359:AD359)</f>
        <v>1134.54</v>
      </c>
      <c r="D359" s="129">
        <f t="shared" ref="D359:AD359" si="132">D356*D357</f>
        <v>238.5</v>
      </c>
      <c r="E359" s="129">
        <f t="shared" si="132"/>
        <v>450</v>
      </c>
      <c r="F359" s="129">
        <f t="shared" si="132"/>
        <v>79.056000000000012</v>
      </c>
      <c r="G359" s="129">
        <f t="shared" si="132"/>
        <v>22.356000000000002</v>
      </c>
      <c r="H359" s="129">
        <f t="shared" si="132"/>
        <v>22.356000000000002</v>
      </c>
      <c r="I359" s="129">
        <f t="shared" si="132"/>
        <v>44.856000000000002</v>
      </c>
      <c r="J359" s="129">
        <f t="shared" si="132"/>
        <v>22.356000000000002</v>
      </c>
      <c r="K359" s="129">
        <f t="shared" si="132"/>
        <v>22.356000000000002</v>
      </c>
      <c r="L359" s="129">
        <f t="shared" si="132"/>
        <v>22.356000000000002</v>
      </c>
      <c r="M359" s="129">
        <f t="shared" si="132"/>
        <v>40.356000000000002</v>
      </c>
      <c r="N359" s="129">
        <f t="shared" si="132"/>
        <v>22.356000000000002</v>
      </c>
      <c r="O359" s="129">
        <f t="shared" si="132"/>
        <v>22.356000000000002</v>
      </c>
      <c r="P359" s="129">
        <f t="shared" si="132"/>
        <v>22.356000000000002</v>
      </c>
      <c r="Q359" s="129">
        <f t="shared" si="132"/>
        <v>35.856000000000002</v>
      </c>
      <c r="R359" s="129">
        <f t="shared" si="132"/>
        <v>22.356000000000002</v>
      </c>
      <c r="S359" s="129">
        <f t="shared" si="132"/>
        <v>22.356000000000002</v>
      </c>
      <c r="T359" s="129">
        <f t="shared" si="132"/>
        <v>22.356000000000002</v>
      </c>
      <c r="U359" s="129">
        <f t="shared" si="132"/>
        <v>0</v>
      </c>
      <c r="V359" s="129">
        <f t="shared" si="132"/>
        <v>0</v>
      </c>
      <c r="W359" s="129">
        <f t="shared" si="132"/>
        <v>0</v>
      </c>
      <c r="X359" s="129">
        <f t="shared" si="132"/>
        <v>0</v>
      </c>
      <c r="Y359" s="129">
        <f t="shared" si="132"/>
        <v>0</v>
      </c>
      <c r="Z359" s="129">
        <f t="shared" si="132"/>
        <v>0</v>
      </c>
      <c r="AA359" s="129">
        <f t="shared" si="132"/>
        <v>0</v>
      </c>
      <c r="AB359" s="129">
        <f t="shared" si="132"/>
        <v>0</v>
      </c>
      <c r="AC359" s="129">
        <f t="shared" si="132"/>
        <v>0</v>
      </c>
      <c r="AD359" s="129">
        <f t="shared" si="132"/>
        <v>0</v>
      </c>
    </row>
    <row r="360" spans="1:30" s="107" customFormat="1" ht="52.75" customHeight="1">
      <c r="A360" s="23" t="s">
        <v>438</v>
      </c>
      <c r="C360" s="108"/>
      <c r="D360" s="109"/>
      <c r="E360" s="109"/>
      <c r="F360" s="109"/>
      <c r="G360" s="109"/>
      <c r="H360" s="109"/>
      <c r="I360" s="109"/>
      <c r="J360" s="109"/>
      <c r="K360" s="109"/>
      <c r="L360" s="109"/>
      <c r="M360" s="109"/>
      <c r="N360" s="109"/>
      <c r="O360" s="109"/>
      <c r="P360" s="109"/>
      <c r="Q360" s="109"/>
      <c r="R360" s="109"/>
      <c r="S360" s="109"/>
      <c r="T360" s="109"/>
      <c r="U360" s="109"/>
      <c r="V360" s="109"/>
      <c r="W360" s="109"/>
      <c r="X360" s="109"/>
      <c r="Y360" s="109"/>
      <c r="Z360" s="109"/>
      <c r="AA360" s="109"/>
      <c r="AB360" s="109"/>
      <c r="AC360" s="109"/>
      <c r="AD360" s="109"/>
    </row>
    <row r="361" spans="1:30" outlineLevel="1">
      <c r="A361" s="50" t="s">
        <v>439</v>
      </c>
      <c r="D361" s="15"/>
      <c r="E361" s="15"/>
      <c r="F361" s="15"/>
      <c r="G361" s="15"/>
      <c r="H361" s="15"/>
      <c r="I361" s="15"/>
      <c r="J361" s="15"/>
      <c r="K361" s="15"/>
      <c r="L361" s="15"/>
      <c r="M361" s="15"/>
      <c r="N361" s="15"/>
      <c r="O361" s="15"/>
      <c r="P361" s="15"/>
      <c r="Q361" s="15"/>
      <c r="R361" s="15"/>
      <c r="S361" s="15"/>
      <c r="T361" s="15"/>
      <c r="U361" s="15"/>
      <c r="V361" s="15"/>
      <c r="W361" s="15"/>
      <c r="X361" s="15"/>
      <c r="Y361" s="15"/>
      <c r="Z361" s="15"/>
      <c r="AA361" s="15"/>
      <c r="AB361" s="15"/>
      <c r="AC361" s="15"/>
      <c r="AD361" s="15"/>
    </row>
    <row r="362" spans="1:30" outlineLevel="1">
      <c r="A362" s="265" t="s">
        <v>573</v>
      </c>
      <c r="D362" s="15"/>
      <c r="E362" s="15"/>
      <c r="F362" s="15"/>
      <c r="G362" s="15"/>
      <c r="H362" s="15"/>
      <c r="I362" s="15"/>
      <c r="J362" s="15"/>
      <c r="K362" s="15"/>
      <c r="L362" s="15"/>
      <c r="M362" s="15"/>
      <c r="N362" s="15"/>
      <c r="O362" s="15"/>
      <c r="P362" s="15"/>
      <c r="Q362" s="15"/>
      <c r="R362" s="15"/>
      <c r="S362" s="15"/>
      <c r="T362" s="15"/>
      <c r="U362" s="15"/>
      <c r="V362" s="15"/>
      <c r="W362" s="15"/>
      <c r="X362" s="15"/>
      <c r="Y362" s="15"/>
      <c r="Z362" s="15"/>
      <c r="AA362" s="15"/>
      <c r="AB362" s="15"/>
      <c r="AC362" s="15"/>
      <c r="AD362" s="15"/>
    </row>
    <row r="363" spans="1:30" outlineLevel="1">
      <c r="A363" s="265" t="s">
        <v>574</v>
      </c>
      <c r="D363" s="15"/>
      <c r="E363" s="15"/>
      <c r="F363" s="15"/>
      <c r="G363" s="15"/>
      <c r="H363" s="15"/>
      <c r="I363" s="15"/>
      <c r="J363" s="15"/>
      <c r="K363" s="15"/>
      <c r="L363" s="15"/>
      <c r="M363" s="15"/>
      <c r="N363" s="15"/>
      <c r="O363" s="15"/>
      <c r="P363" s="15"/>
      <c r="Q363" s="15"/>
      <c r="R363" s="15"/>
      <c r="S363" s="15"/>
      <c r="T363" s="15"/>
      <c r="U363" s="15"/>
      <c r="V363" s="15"/>
      <c r="W363" s="15"/>
      <c r="X363" s="15"/>
      <c r="Y363" s="15"/>
      <c r="Z363" s="15"/>
      <c r="AA363" s="15"/>
      <c r="AB363" s="15"/>
      <c r="AC363" s="15"/>
      <c r="AD363" s="15"/>
    </row>
    <row r="364" spans="1:30" outlineLevel="1">
      <c r="A364" s="265" t="s">
        <v>575</v>
      </c>
      <c r="D364" s="15"/>
      <c r="E364" s="15"/>
      <c r="F364" s="15"/>
      <c r="G364" s="15"/>
      <c r="H364" s="15"/>
      <c r="I364" s="15"/>
      <c r="J364" s="15"/>
      <c r="K364" s="15"/>
      <c r="L364" s="15"/>
      <c r="M364" s="15"/>
      <c r="N364" s="15"/>
      <c r="O364" s="15"/>
      <c r="P364" s="15"/>
      <c r="Q364" s="15"/>
      <c r="R364" s="15"/>
      <c r="S364" s="15"/>
      <c r="T364" s="15"/>
      <c r="U364" s="15"/>
      <c r="V364" s="15"/>
      <c r="W364" s="15"/>
      <c r="X364" s="15"/>
      <c r="Y364" s="15"/>
      <c r="Z364" s="15"/>
      <c r="AA364" s="15"/>
      <c r="AB364" s="15"/>
      <c r="AC364" s="15"/>
      <c r="AD364" s="15"/>
    </row>
    <row r="365" spans="1:30" outlineLevel="1">
      <c r="A365" s="265" t="s">
        <v>576</v>
      </c>
      <c r="D365" s="15"/>
      <c r="E365" s="15"/>
      <c r="F365" s="15"/>
      <c r="G365" s="15"/>
      <c r="H365" s="15"/>
      <c r="I365" s="15"/>
      <c r="J365" s="15"/>
      <c r="K365" s="15"/>
      <c r="L365" s="15"/>
      <c r="M365" s="15"/>
      <c r="N365" s="15"/>
      <c r="O365" s="15"/>
      <c r="P365" s="15"/>
      <c r="Q365" s="15"/>
      <c r="R365" s="15"/>
      <c r="S365" s="15"/>
      <c r="T365" s="15"/>
      <c r="U365" s="15"/>
      <c r="V365" s="15"/>
      <c r="W365" s="15"/>
      <c r="X365" s="15"/>
      <c r="Y365" s="15"/>
      <c r="Z365" s="15"/>
      <c r="AA365" s="15"/>
      <c r="AB365" s="15"/>
      <c r="AC365" s="15"/>
      <c r="AD365" s="15"/>
    </row>
    <row r="366" spans="1:30" outlineLevel="1">
      <c r="A366" s="265" t="s">
        <v>577</v>
      </c>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c r="AD366" s="15"/>
    </row>
    <row r="367" spans="1:30" outlineLevel="1">
      <c r="A367" s="50" t="s">
        <v>467</v>
      </c>
      <c r="D367" s="15"/>
      <c r="E367" s="15"/>
      <c r="F367" s="15"/>
      <c r="G367" s="15"/>
      <c r="H367" s="15"/>
      <c r="I367" s="15"/>
      <c r="J367" s="15"/>
      <c r="K367" s="15"/>
      <c r="L367" s="15"/>
      <c r="M367" s="15"/>
      <c r="N367" s="15"/>
      <c r="O367" s="15"/>
      <c r="P367" s="15"/>
      <c r="Q367" s="15"/>
      <c r="R367" s="15"/>
      <c r="S367" s="15"/>
      <c r="T367" s="15"/>
      <c r="U367" s="15"/>
      <c r="V367" s="15"/>
      <c r="W367" s="15"/>
      <c r="X367" s="15"/>
      <c r="Y367" s="15"/>
      <c r="Z367" s="15"/>
      <c r="AA367" s="15"/>
      <c r="AB367" s="15"/>
      <c r="AC367" s="15"/>
      <c r="AD367" s="15"/>
    </row>
    <row r="368" spans="1:30" outlineLevel="1">
      <c r="A368" s="267" t="s">
        <v>578</v>
      </c>
      <c r="D368" s="15"/>
      <c r="E368" s="15"/>
      <c r="F368" s="15"/>
      <c r="G368" s="15"/>
      <c r="H368" s="15"/>
      <c r="I368" s="15"/>
      <c r="J368" s="15"/>
      <c r="K368" s="15"/>
      <c r="L368" s="15"/>
      <c r="M368" s="15"/>
      <c r="N368" s="15"/>
      <c r="O368" s="15"/>
      <c r="P368" s="15"/>
      <c r="Q368" s="15"/>
      <c r="R368" s="15"/>
      <c r="S368" s="15"/>
      <c r="T368" s="15"/>
      <c r="U368" s="15"/>
      <c r="V368" s="15"/>
      <c r="W368" s="15"/>
      <c r="X368" s="15"/>
      <c r="Y368" s="15"/>
      <c r="Z368" s="15"/>
      <c r="AA368" s="15"/>
      <c r="AB368" s="15"/>
      <c r="AC368" s="15"/>
      <c r="AD368" s="15"/>
    </row>
    <row r="369" spans="1:30" outlineLevel="1">
      <c r="A369" s="267" t="s">
        <v>579</v>
      </c>
      <c r="D369" s="15"/>
      <c r="E369" s="15"/>
      <c r="F369" s="15"/>
      <c r="G369" s="15"/>
      <c r="H369" s="15"/>
      <c r="I369" s="15"/>
      <c r="J369" s="15"/>
      <c r="K369" s="15"/>
      <c r="L369" s="15"/>
      <c r="M369" s="15"/>
      <c r="N369" s="15"/>
      <c r="O369" s="15"/>
      <c r="P369" s="15"/>
      <c r="Q369" s="15"/>
      <c r="R369" s="15"/>
      <c r="S369" s="15"/>
      <c r="T369" s="15"/>
      <c r="U369" s="15"/>
      <c r="V369" s="15"/>
      <c r="W369" s="15"/>
      <c r="X369" s="15"/>
      <c r="Y369" s="15"/>
      <c r="Z369" s="15"/>
      <c r="AA369" s="15"/>
      <c r="AB369" s="15"/>
      <c r="AC369" s="15"/>
      <c r="AD369" s="15"/>
    </row>
    <row r="370" spans="1:30" outlineLevel="1">
      <c r="A370" s="49" t="s">
        <v>291</v>
      </c>
      <c r="D370" s="15"/>
      <c r="E370" s="15"/>
      <c r="F370" s="15"/>
      <c r="G370" s="15"/>
      <c r="H370" s="15"/>
      <c r="I370" s="15"/>
      <c r="J370" s="15"/>
      <c r="K370" s="15"/>
      <c r="L370" s="15"/>
      <c r="M370" s="15"/>
      <c r="N370" s="15"/>
      <c r="O370" s="15"/>
      <c r="P370" s="15"/>
      <c r="Q370" s="15"/>
      <c r="R370" s="15"/>
      <c r="S370" s="15"/>
      <c r="T370" s="15"/>
      <c r="U370" s="15"/>
      <c r="V370" s="15"/>
      <c r="W370" s="15"/>
      <c r="X370" s="15"/>
      <c r="Y370" s="15"/>
      <c r="Z370" s="15"/>
      <c r="AA370" s="15"/>
      <c r="AB370" s="15"/>
      <c r="AC370" s="15"/>
      <c r="AD370" s="15"/>
    </row>
    <row r="371" spans="1:30" s="270" customFormat="1" ht="15" customHeight="1" outlineLevel="1">
      <c r="A371" s="134" t="s">
        <v>552</v>
      </c>
      <c r="B371" s="268"/>
      <c r="C371" s="269"/>
      <c r="D371" s="269"/>
      <c r="E371" s="269"/>
      <c r="F371" s="269"/>
      <c r="G371" s="269"/>
      <c r="H371" s="269"/>
      <c r="I371" s="269"/>
      <c r="J371" s="269"/>
      <c r="K371" s="269"/>
      <c r="L371" s="269"/>
      <c r="M371" s="269"/>
      <c r="N371" s="269"/>
      <c r="O371" s="269"/>
      <c r="P371" s="269"/>
      <c r="Q371" s="269"/>
      <c r="R371" s="269"/>
      <c r="S371" s="269"/>
      <c r="T371" s="269"/>
      <c r="U371" s="269"/>
      <c r="V371" s="269"/>
      <c r="W371" s="269"/>
      <c r="X371" s="269"/>
    </row>
    <row r="372" spans="1:30" s="104" customFormat="1" ht="13.5" outlineLevel="1" thickBot="1">
      <c r="A372" s="272" t="s">
        <v>289</v>
      </c>
      <c r="B372" s="272" t="s">
        <v>125</v>
      </c>
      <c r="C372" s="273"/>
      <c r="D372" s="274">
        <v>0.02</v>
      </c>
      <c r="E372" s="274">
        <f t="shared" ref="E372:AD372" si="133">D372</f>
        <v>0.02</v>
      </c>
      <c r="F372" s="274">
        <f t="shared" si="133"/>
        <v>0.02</v>
      </c>
      <c r="G372" s="274">
        <f t="shared" si="133"/>
        <v>0.02</v>
      </c>
      <c r="H372" s="274">
        <f t="shared" si="133"/>
        <v>0.02</v>
      </c>
      <c r="I372" s="274">
        <f t="shared" si="133"/>
        <v>0.02</v>
      </c>
      <c r="J372" s="274">
        <f t="shared" si="133"/>
        <v>0.02</v>
      </c>
      <c r="K372" s="274">
        <f t="shared" si="133"/>
        <v>0.02</v>
      </c>
      <c r="L372" s="274">
        <f t="shared" si="133"/>
        <v>0.02</v>
      </c>
      <c r="M372" s="274">
        <f t="shared" si="133"/>
        <v>0.02</v>
      </c>
      <c r="N372" s="274">
        <f t="shared" si="133"/>
        <v>0.02</v>
      </c>
      <c r="O372" s="274">
        <f t="shared" si="133"/>
        <v>0.02</v>
      </c>
      <c r="P372" s="274">
        <f t="shared" si="133"/>
        <v>0.02</v>
      </c>
      <c r="Q372" s="274">
        <f t="shared" si="133"/>
        <v>0.02</v>
      </c>
      <c r="R372" s="274">
        <f t="shared" si="133"/>
        <v>0.02</v>
      </c>
      <c r="S372" s="274">
        <f t="shared" si="133"/>
        <v>0.02</v>
      </c>
      <c r="T372" s="274">
        <f t="shared" si="133"/>
        <v>0.02</v>
      </c>
      <c r="U372" s="274">
        <f t="shared" si="133"/>
        <v>0.02</v>
      </c>
      <c r="V372" s="274">
        <f t="shared" si="133"/>
        <v>0.02</v>
      </c>
      <c r="W372" s="274">
        <f t="shared" si="133"/>
        <v>0.02</v>
      </c>
      <c r="X372" s="274">
        <f t="shared" si="133"/>
        <v>0.02</v>
      </c>
      <c r="Y372" s="274">
        <f t="shared" si="133"/>
        <v>0.02</v>
      </c>
      <c r="Z372" s="274">
        <f t="shared" si="133"/>
        <v>0.02</v>
      </c>
      <c r="AA372" s="274">
        <f t="shared" si="133"/>
        <v>0.02</v>
      </c>
      <c r="AB372" s="274">
        <f t="shared" si="133"/>
        <v>0.02</v>
      </c>
      <c r="AC372" s="274">
        <f t="shared" si="133"/>
        <v>0.02</v>
      </c>
      <c r="AD372" s="274">
        <f t="shared" si="133"/>
        <v>0.02</v>
      </c>
    </row>
    <row r="373" spans="1:30" s="45" customFormat="1" ht="13.5" outlineLevel="1" thickBot="1">
      <c r="A373" s="45" t="s">
        <v>291</v>
      </c>
      <c r="B373" s="13" t="s">
        <v>83</v>
      </c>
      <c r="C373" s="42"/>
      <c r="D373" s="165">
        <f>(1+D372)^0.5</f>
        <v>1.0099504938362078</v>
      </c>
      <c r="E373" s="57">
        <f t="shared" ref="E373:AD373" si="134">D373*(1+E372)</f>
        <v>1.030149503712932</v>
      </c>
      <c r="F373" s="57">
        <f t="shared" si="134"/>
        <v>1.0507524937871906</v>
      </c>
      <c r="G373" s="57">
        <f t="shared" si="134"/>
        <v>1.0717675436629344</v>
      </c>
      <c r="H373" s="57">
        <f t="shared" si="134"/>
        <v>1.0932028945361931</v>
      </c>
      <c r="I373" s="57">
        <f t="shared" si="134"/>
        <v>1.115066952426917</v>
      </c>
      <c r="J373" s="57">
        <f t="shared" si="134"/>
        <v>1.1373682914754553</v>
      </c>
      <c r="K373" s="57">
        <f t="shared" si="134"/>
        <v>1.1601156573049645</v>
      </c>
      <c r="L373" s="57">
        <f t="shared" si="134"/>
        <v>1.1833179704510637</v>
      </c>
      <c r="M373" s="57">
        <f t="shared" si="134"/>
        <v>1.2069843298600851</v>
      </c>
      <c r="N373" s="57">
        <f t="shared" si="134"/>
        <v>1.2311240164572868</v>
      </c>
      <c r="O373" s="57">
        <f t="shared" si="134"/>
        <v>1.2557464967864325</v>
      </c>
      <c r="P373" s="57">
        <f t="shared" si="134"/>
        <v>1.2808614267221612</v>
      </c>
      <c r="Q373" s="57">
        <f t="shared" si="134"/>
        <v>1.3064786552566043</v>
      </c>
      <c r="R373" s="57">
        <f t="shared" si="134"/>
        <v>1.3326082283617364</v>
      </c>
      <c r="S373" s="57">
        <f t="shared" si="134"/>
        <v>1.3592603929289713</v>
      </c>
      <c r="T373" s="57">
        <f t="shared" si="134"/>
        <v>1.3864456007875507</v>
      </c>
      <c r="U373" s="57">
        <f t="shared" si="134"/>
        <v>1.4141745128033019</v>
      </c>
      <c r="V373" s="57">
        <f t="shared" si="134"/>
        <v>1.4424580030593679</v>
      </c>
      <c r="W373" s="57">
        <f t="shared" si="134"/>
        <v>1.4713071631205552</v>
      </c>
      <c r="X373" s="57">
        <f t="shared" si="134"/>
        <v>1.5007333063829664</v>
      </c>
      <c r="Y373" s="57">
        <f t="shared" si="134"/>
        <v>1.5307479725106259</v>
      </c>
      <c r="Z373" s="57">
        <f t="shared" si="134"/>
        <v>1.5613629319608384</v>
      </c>
      <c r="AA373" s="57">
        <f t="shared" si="134"/>
        <v>1.5925901906000552</v>
      </c>
      <c r="AB373" s="57">
        <f t="shared" si="134"/>
        <v>1.6244419944120563</v>
      </c>
      <c r="AC373" s="57">
        <f t="shared" si="134"/>
        <v>1.6569308343002975</v>
      </c>
      <c r="AD373" s="57">
        <f t="shared" si="134"/>
        <v>1.6900694509863035</v>
      </c>
    </row>
    <row r="374" spans="1:30" s="16" customFormat="1" ht="15.5" outlineLevel="1">
      <c r="A374" s="49" t="s">
        <v>464</v>
      </c>
      <c r="B374" s="8"/>
      <c r="C374" s="19"/>
      <c r="D374" s="164"/>
      <c r="E374" s="20"/>
      <c r="F374" s="20"/>
      <c r="G374" s="20"/>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row>
    <row r="375" spans="1:30" outlineLevel="1">
      <c r="A375" s="271" t="s">
        <v>582</v>
      </c>
      <c r="D375" s="15"/>
      <c r="E375" s="15"/>
      <c r="F375" s="15"/>
      <c r="G375" s="15"/>
      <c r="H375" s="15"/>
      <c r="I375" s="15"/>
      <c r="J375" s="15"/>
      <c r="K375" s="15"/>
      <c r="L375" s="15"/>
      <c r="M375" s="15"/>
      <c r="N375" s="15"/>
      <c r="O375" s="15"/>
      <c r="P375" s="15"/>
      <c r="Q375" s="15"/>
      <c r="R375" s="15"/>
      <c r="S375" s="15"/>
      <c r="T375" s="15"/>
      <c r="U375" s="15"/>
      <c r="V375" s="15"/>
      <c r="W375" s="15"/>
      <c r="X375" s="15"/>
      <c r="Y375" s="15"/>
      <c r="Z375" s="15"/>
      <c r="AA375" s="15"/>
      <c r="AB375" s="15"/>
      <c r="AC375" s="15"/>
      <c r="AD375" s="15"/>
    </row>
    <row r="376" spans="1:30" outlineLevel="1">
      <c r="A376" s="45" t="str">
        <f>A338</f>
        <v>Prestrip</v>
      </c>
      <c r="B376" s="45" t="str">
        <f>B338</f>
        <v>A$ million Real</v>
      </c>
      <c r="C376" s="42">
        <f>SUM(D376:AD376)</f>
        <v>40</v>
      </c>
      <c r="D376" s="42">
        <f t="shared" ref="D376:AD376" si="135">D338</f>
        <v>10</v>
      </c>
      <c r="E376" s="42">
        <f t="shared" si="135"/>
        <v>30</v>
      </c>
      <c r="F376" s="42">
        <f t="shared" si="135"/>
        <v>0</v>
      </c>
      <c r="G376" s="42">
        <f t="shared" si="135"/>
        <v>0</v>
      </c>
      <c r="H376" s="42">
        <f t="shared" si="135"/>
        <v>0</v>
      </c>
      <c r="I376" s="42">
        <f t="shared" si="135"/>
        <v>0</v>
      </c>
      <c r="J376" s="42">
        <f t="shared" si="135"/>
        <v>0</v>
      </c>
      <c r="K376" s="42">
        <f t="shared" si="135"/>
        <v>0</v>
      </c>
      <c r="L376" s="42">
        <f t="shared" si="135"/>
        <v>0</v>
      </c>
      <c r="M376" s="42">
        <f t="shared" si="135"/>
        <v>0</v>
      </c>
      <c r="N376" s="42">
        <f t="shared" si="135"/>
        <v>0</v>
      </c>
      <c r="O376" s="42">
        <f t="shared" si="135"/>
        <v>0</v>
      </c>
      <c r="P376" s="42">
        <f t="shared" si="135"/>
        <v>0</v>
      </c>
      <c r="Q376" s="42">
        <f t="shared" si="135"/>
        <v>0</v>
      </c>
      <c r="R376" s="42">
        <f t="shared" si="135"/>
        <v>0</v>
      </c>
      <c r="S376" s="42">
        <f t="shared" si="135"/>
        <v>0</v>
      </c>
      <c r="T376" s="42">
        <f t="shared" si="135"/>
        <v>0</v>
      </c>
      <c r="U376" s="42">
        <f t="shared" si="135"/>
        <v>0</v>
      </c>
      <c r="V376" s="42">
        <f t="shared" si="135"/>
        <v>0</v>
      </c>
      <c r="W376" s="42">
        <f t="shared" si="135"/>
        <v>0</v>
      </c>
      <c r="X376" s="42">
        <f t="shared" si="135"/>
        <v>0</v>
      </c>
      <c r="Y376" s="42">
        <f t="shared" si="135"/>
        <v>0</v>
      </c>
      <c r="Z376" s="42">
        <f t="shared" si="135"/>
        <v>0</v>
      </c>
      <c r="AA376" s="42">
        <f t="shared" si="135"/>
        <v>0</v>
      </c>
      <c r="AB376" s="42">
        <f t="shared" si="135"/>
        <v>0</v>
      </c>
      <c r="AC376" s="42">
        <f t="shared" si="135"/>
        <v>0</v>
      </c>
      <c r="AD376" s="42">
        <f t="shared" si="135"/>
        <v>0</v>
      </c>
    </row>
    <row r="377" spans="1:30" s="104" customFormat="1" outlineLevel="1">
      <c r="A377" s="104" t="str">
        <f>A376</f>
        <v>Prestrip</v>
      </c>
      <c r="B377" s="104" t="s">
        <v>290</v>
      </c>
      <c r="C377" s="105">
        <f>SUM(D377:AD377)</f>
        <v>41.003990049750037</v>
      </c>
      <c r="D377" s="105">
        <f>D376*D$373</f>
        <v>10.099504938362077</v>
      </c>
      <c r="E377" s="105">
        <f t="shared" ref="E377:AD377" si="136">E376*E$373</f>
        <v>30.90448511138796</v>
      </c>
      <c r="F377" s="105">
        <f t="shared" si="136"/>
        <v>0</v>
      </c>
      <c r="G377" s="105">
        <f t="shared" si="136"/>
        <v>0</v>
      </c>
      <c r="H377" s="105">
        <f t="shared" si="136"/>
        <v>0</v>
      </c>
      <c r="I377" s="105">
        <f t="shared" si="136"/>
        <v>0</v>
      </c>
      <c r="J377" s="105">
        <f t="shared" si="136"/>
        <v>0</v>
      </c>
      <c r="K377" s="105">
        <f t="shared" si="136"/>
        <v>0</v>
      </c>
      <c r="L377" s="105">
        <f t="shared" si="136"/>
        <v>0</v>
      </c>
      <c r="M377" s="105">
        <f t="shared" si="136"/>
        <v>0</v>
      </c>
      <c r="N377" s="105">
        <f t="shared" si="136"/>
        <v>0</v>
      </c>
      <c r="O377" s="105">
        <f t="shared" si="136"/>
        <v>0</v>
      </c>
      <c r="P377" s="105">
        <f t="shared" si="136"/>
        <v>0</v>
      </c>
      <c r="Q377" s="105">
        <f t="shared" si="136"/>
        <v>0</v>
      </c>
      <c r="R377" s="105">
        <f t="shared" si="136"/>
        <v>0</v>
      </c>
      <c r="S377" s="105">
        <f t="shared" si="136"/>
        <v>0</v>
      </c>
      <c r="T377" s="105">
        <f t="shared" si="136"/>
        <v>0</v>
      </c>
      <c r="U377" s="105">
        <f t="shared" si="136"/>
        <v>0</v>
      </c>
      <c r="V377" s="105">
        <f t="shared" si="136"/>
        <v>0</v>
      </c>
      <c r="W377" s="105">
        <f t="shared" si="136"/>
        <v>0</v>
      </c>
      <c r="X377" s="105">
        <f t="shared" si="136"/>
        <v>0</v>
      </c>
      <c r="Y377" s="105">
        <f t="shared" si="136"/>
        <v>0</v>
      </c>
      <c r="Z377" s="105">
        <f t="shared" si="136"/>
        <v>0</v>
      </c>
      <c r="AA377" s="105">
        <f t="shared" si="136"/>
        <v>0</v>
      </c>
      <c r="AB377" s="105">
        <f t="shared" si="136"/>
        <v>0</v>
      </c>
      <c r="AC377" s="105">
        <f t="shared" si="136"/>
        <v>0</v>
      </c>
      <c r="AD377" s="105">
        <f t="shared" si="136"/>
        <v>0</v>
      </c>
    </row>
    <row r="378" spans="1:30" s="104" customFormat="1" ht="12.65" customHeight="1" outlineLevel="1">
      <c r="A378" s="104" t="s">
        <v>441</v>
      </c>
      <c r="B378" s="104" t="str">
        <f>B377</f>
        <v>A$ millions NOMINAL</v>
      </c>
      <c r="C378" s="105">
        <f>SUM(D378:AD378)</f>
        <v>41.003990049750037</v>
      </c>
      <c r="D378" s="105">
        <f>D377</f>
        <v>10.099504938362077</v>
      </c>
      <c r="E378" s="105">
        <f t="shared" ref="E378:AD378" si="137">E377</f>
        <v>30.90448511138796</v>
      </c>
      <c r="F378" s="105">
        <f t="shared" si="137"/>
        <v>0</v>
      </c>
      <c r="G378" s="105">
        <f t="shared" si="137"/>
        <v>0</v>
      </c>
      <c r="H378" s="105">
        <f t="shared" si="137"/>
        <v>0</v>
      </c>
      <c r="I378" s="105">
        <f t="shared" si="137"/>
        <v>0</v>
      </c>
      <c r="J378" s="105">
        <f t="shared" si="137"/>
        <v>0</v>
      </c>
      <c r="K378" s="105">
        <f t="shared" si="137"/>
        <v>0</v>
      </c>
      <c r="L378" s="105">
        <f t="shared" si="137"/>
        <v>0</v>
      </c>
      <c r="M378" s="105">
        <f t="shared" si="137"/>
        <v>0</v>
      </c>
      <c r="N378" s="105">
        <f t="shared" si="137"/>
        <v>0</v>
      </c>
      <c r="O378" s="105">
        <f t="shared" si="137"/>
        <v>0</v>
      </c>
      <c r="P378" s="105">
        <f t="shared" si="137"/>
        <v>0</v>
      </c>
      <c r="Q378" s="105">
        <f t="shared" si="137"/>
        <v>0</v>
      </c>
      <c r="R378" s="105">
        <f t="shared" si="137"/>
        <v>0</v>
      </c>
      <c r="S378" s="105">
        <f t="shared" si="137"/>
        <v>0</v>
      </c>
      <c r="T378" s="105">
        <f t="shared" si="137"/>
        <v>0</v>
      </c>
      <c r="U378" s="105">
        <f t="shared" si="137"/>
        <v>0</v>
      </c>
      <c r="V378" s="105">
        <f t="shared" si="137"/>
        <v>0</v>
      </c>
      <c r="W378" s="105">
        <f t="shared" si="137"/>
        <v>0</v>
      </c>
      <c r="X378" s="105">
        <f t="shared" si="137"/>
        <v>0</v>
      </c>
      <c r="Y378" s="105">
        <f t="shared" si="137"/>
        <v>0</v>
      </c>
      <c r="Z378" s="105">
        <f t="shared" si="137"/>
        <v>0</v>
      </c>
      <c r="AA378" s="105">
        <f t="shared" si="137"/>
        <v>0</v>
      </c>
      <c r="AB378" s="105">
        <f t="shared" si="137"/>
        <v>0</v>
      </c>
      <c r="AC378" s="105">
        <f t="shared" si="137"/>
        <v>0</v>
      </c>
      <c r="AD378" s="105">
        <f t="shared" si="137"/>
        <v>0</v>
      </c>
    </row>
    <row r="379" spans="1:30" outlineLevel="1">
      <c r="C379" s="42"/>
      <c r="D379" s="42"/>
      <c r="E379" s="42"/>
      <c r="F379" s="42"/>
      <c r="G379" s="42"/>
      <c r="H379" s="42"/>
      <c r="I379" s="42"/>
      <c r="J379" s="42"/>
      <c r="K379" s="42"/>
      <c r="L379" s="42"/>
      <c r="M379" s="42"/>
      <c r="N379" s="42"/>
      <c r="O379" s="42"/>
      <c r="P379" s="42"/>
      <c r="Q379" s="42"/>
      <c r="R379" s="42"/>
      <c r="S379" s="42"/>
      <c r="T379" s="42"/>
      <c r="U379" s="42"/>
      <c r="V379" s="42"/>
      <c r="W379" s="42"/>
      <c r="X379" s="42"/>
      <c r="Y379" s="42"/>
      <c r="Z379" s="42"/>
      <c r="AA379" s="42"/>
      <c r="AB379" s="42"/>
      <c r="AC379" s="42"/>
      <c r="AD379" s="42"/>
    </row>
    <row r="380" spans="1:30" outlineLevel="1">
      <c r="A380" s="49" t="s">
        <v>465</v>
      </c>
      <c r="C380" s="42"/>
      <c r="D380" s="42"/>
      <c r="E380" s="42"/>
      <c r="F380" s="42"/>
      <c r="G380" s="42"/>
      <c r="H380" s="42"/>
      <c r="I380" s="42"/>
      <c r="J380" s="42"/>
      <c r="K380" s="42"/>
      <c r="L380" s="42"/>
      <c r="M380" s="42"/>
      <c r="N380" s="42"/>
      <c r="O380" s="42"/>
      <c r="P380" s="42"/>
      <c r="Q380" s="42"/>
      <c r="R380" s="42"/>
      <c r="S380" s="42"/>
      <c r="T380" s="42"/>
      <c r="U380" s="42"/>
      <c r="V380" s="42"/>
      <c r="W380" s="42"/>
      <c r="X380" s="42"/>
      <c r="Y380" s="42"/>
      <c r="Z380" s="42"/>
      <c r="AA380" s="42"/>
      <c r="AB380" s="42"/>
      <c r="AC380" s="42"/>
      <c r="AD380" s="42"/>
    </row>
    <row r="381" spans="1:30" outlineLevel="1">
      <c r="A381" s="271" t="s">
        <v>553</v>
      </c>
      <c r="C381" s="42"/>
      <c r="D381" s="42"/>
      <c r="E381" s="42"/>
      <c r="F381" s="42"/>
      <c r="G381" s="42"/>
      <c r="H381" s="42"/>
      <c r="I381" s="42"/>
      <c r="J381" s="42"/>
      <c r="K381" s="42"/>
      <c r="L381" s="42"/>
      <c r="M381" s="42"/>
      <c r="N381" s="42"/>
      <c r="O381" s="42"/>
      <c r="P381" s="42"/>
      <c r="Q381" s="42"/>
      <c r="R381" s="42"/>
      <c r="S381" s="42"/>
      <c r="T381" s="42"/>
      <c r="U381" s="42"/>
      <c r="V381" s="42"/>
      <c r="W381" s="42"/>
      <c r="X381" s="42"/>
      <c r="Y381" s="42"/>
      <c r="Z381" s="42"/>
      <c r="AA381" s="42"/>
      <c r="AB381" s="42"/>
      <c r="AC381" s="42"/>
      <c r="AD381" s="42"/>
    </row>
    <row r="382" spans="1:30" outlineLevel="1">
      <c r="A382" s="45" t="str">
        <f>A339</f>
        <v>Mine</v>
      </c>
      <c r="B382" s="45" t="str">
        <f>B339</f>
        <v>A$ million Real</v>
      </c>
      <c r="C382" s="42">
        <f>SUM(D382:AD382)</f>
        <v>120</v>
      </c>
      <c r="D382" s="42">
        <f t="shared" ref="D382:AD383" si="138">D339</f>
        <v>50</v>
      </c>
      <c r="E382" s="42">
        <f t="shared" si="138"/>
        <v>60</v>
      </c>
      <c r="F382" s="42">
        <f t="shared" si="138"/>
        <v>10</v>
      </c>
      <c r="G382" s="42">
        <f t="shared" si="138"/>
        <v>0</v>
      </c>
      <c r="H382" s="42">
        <f t="shared" si="138"/>
        <v>0</v>
      </c>
      <c r="I382" s="42">
        <f t="shared" si="138"/>
        <v>0</v>
      </c>
      <c r="J382" s="42">
        <f t="shared" si="138"/>
        <v>0</v>
      </c>
      <c r="K382" s="42">
        <f t="shared" si="138"/>
        <v>0</v>
      </c>
      <c r="L382" s="42">
        <f t="shared" si="138"/>
        <v>0</v>
      </c>
      <c r="M382" s="42">
        <f t="shared" si="138"/>
        <v>0</v>
      </c>
      <c r="N382" s="42">
        <f t="shared" si="138"/>
        <v>0</v>
      </c>
      <c r="O382" s="42">
        <f t="shared" si="138"/>
        <v>0</v>
      </c>
      <c r="P382" s="42">
        <f t="shared" si="138"/>
        <v>0</v>
      </c>
      <c r="Q382" s="42">
        <f t="shared" si="138"/>
        <v>0</v>
      </c>
      <c r="R382" s="42">
        <f t="shared" si="138"/>
        <v>0</v>
      </c>
      <c r="S382" s="42">
        <f t="shared" si="138"/>
        <v>0</v>
      </c>
      <c r="T382" s="42">
        <f t="shared" si="138"/>
        <v>0</v>
      </c>
      <c r="U382" s="42">
        <f t="shared" si="138"/>
        <v>0</v>
      </c>
      <c r="V382" s="42">
        <f t="shared" si="138"/>
        <v>0</v>
      </c>
      <c r="W382" s="42">
        <f t="shared" si="138"/>
        <v>0</v>
      </c>
      <c r="X382" s="42">
        <f t="shared" si="138"/>
        <v>0</v>
      </c>
      <c r="Y382" s="42">
        <f t="shared" si="138"/>
        <v>0</v>
      </c>
      <c r="Z382" s="42">
        <f t="shared" si="138"/>
        <v>0</v>
      </c>
      <c r="AA382" s="42">
        <f t="shared" si="138"/>
        <v>0</v>
      </c>
      <c r="AB382" s="42">
        <f t="shared" si="138"/>
        <v>0</v>
      </c>
      <c r="AC382" s="42">
        <f t="shared" si="138"/>
        <v>0</v>
      </c>
      <c r="AD382" s="42">
        <f t="shared" si="138"/>
        <v>0</v>
      </c>
    </row>
    <row r="383" spans="1:30" outlineLevel="1">
      <c r="A383" s="45" t="str">
        <f>A340</f>
        <v>Mineral Processing Plant</v>
      </c>
      <c r="B383" s="45" t="str">
        <f>B340</f>
        <v>A$ million Real</v>
      </c>
      <c r="C383" s="42">
        <f>SUM(D383:AD383)</f>
        <v>440</v>
      </c>
      <c r="D383" s="42">
        <f t="shared" si="138"/>
        <v>130</v>
      </c>
      <c r="E383" s="42">
        <f t="shared" si="138"/>
        <v>290</v>
      </c>
      <c r="F383" s="42">
        <f t="shared" si="138"/>
        <v>20</v>
      </c>
      <c r="G383" s="42">
        <f t="shared" si="138"/>
        <v>0</v>
      </c>
      <c r="H383" s="42">
        <f t="shared" si="138"/>
        <v>0</v>
      </c>
      <c r="I383" s="42">
        <f t="shared" si="138"/>
        <v>0</v>
      </c>
      <c r="J383" s="42">
        <f t="shared" si="138"/>
        <v>0</v>
      </c>
      <c r="K383" s="42">
        <f t="shared" si="138"/>
        <v>0</v>
      </c>
      <c r="L383" s="42">
        <f t="shared" si="138"/>
        <v>0</v>
      </c>
      <c r="M383" s="42">
        <f t="shared" si="138"/>
        <v>0</v>
      </c>
      <c r="N383" s="42">
        <f t="shared" si="138"/>
        <v>0</v>
      </c>
      <c r="O383" s="42">
        <f t="shared" si="138"/>
        <v>0</v>
      </c>
      <c r="P383" s="42">
        <f t="shared" si="138"/>
        <v>0</v>
      </c>
      <c r="Q383" s="42">
        <f t="shared" si="138"/>
        <v>0</v>
      </c>
      <c r="R383" s="42">
        <f t="shared" si="138"/>
        <v>0</v>
      </c>
      <c r="S383" s="42">
        <f t="shared" si="138"/>
        <v>0</v>
      </c>
      <c r="T383" s="42">
        <f t="shared" si="138"/>
        <v>0</v>
      </c>
      <c r="U383" s="42">
        <f t="shared" si="138"/>
        <v>0</v>
      </c>
      <c r="V383" s="42">
        <f t="shared" si="138"/>
        <v>0</v>
      </c>
      <c r="W383" s="42">
        <f t="shared" si="138"/>
        <v>0</v>
      </c>
      <c r="X383" s="42">
        <f t="shared" si="138"/>
        <v>0</v>
      </c>
      <c r="Y383" s="42">
        <f t="shared" si="138"/>
        <v>0</v>
      </c>
      <c r="Z383" s="42">
        <f t="shared" si="138"/>
        <v>0</v>
      </c>
      <c r="AA383" s="42">
        <f t="shared" si="138"/>
        <v>0</v>
      </c>
      <c r="AB383" s="42">
        <f t="shared" si="138"/>
        <v>0</v>
      </c>
      <c r="AC383" s="42">
        <f t="shared" si="138"/>
        <v>0</v>
      </c>
      <c r="AD383" s="42">
        <f t="shared" si="138"/>
        <v>0</v>
      </c>
    </row>
    <row r="384" spans="1:30" outlineLevel="1">
      <c r="A384" s="45" t="s">
        <v>442</v>
      </c>
      <c r="B384" s="45" t="s">
        <v>285</v>
      </c>
      <c r="C384" s="42">
        <f>SUM(D384:AD384)</f>
        <v>560</v>
      </c>
      <c r="D384" s="70">
        <f>SUM(D382:D383)</f>
        <v>180</v>
      </c>
      <c r="E384" s="70">
        <f t="shared" ref="E384:AD384" si="139">SUM(E382:E383)</f>
        <v>350</v>
      </c>
      <c r="F384" s="70">
        <f t="shared" si="139"/>
        <v>30</v>
      </c>
      <c r="G384" s="70">
        <f t="shared" si="139"/>
        <v>0</v>
      </c>
      <c r="H384" s="70">
        <f t="shared" si="139"/>
        <v>0</v>
      </c>
      <c r="I384" s="70">
        <f t="shared" si="139"/>
        <v>0</v>
      </c>
      <c r="J384" s="70">
        <f t="shared" si="139"/>
        <v>0</v>
      </c>
      <c r="K384" s="70">
        <f t="shared" si="139"/>
        <v>0</v>
      </c>
      <c r="L384" s="70">
        <f t="shared" si="139"/>
        <v>0</v>
      </c>
      <c r="M384" s="70">
        <f t="shared" si="139"/>
        <v>0</v>
      </c>
      <c r="N384" s="70">
        <f t="shared" si="139"/>
        <v>0</v>
      </c>
      <c r="O384" s="70">
        <f t="shared" si="139"/>
        <v>0</v>
      </c>
      <c r="P384" s="70">
        <f t="shared" si="139"/>
        <v>0</v>
      </c>
      <c r="Q384" s="70">
        <f t="shared" si="139"/>
        <v>0</v>
      </c>
      <c r="R384" s="70">
        <f t="shared" si="139"/>
        <v>0</v>
      </c>
      <c r="S384" s="70">
        <f t="shared" si="139"/>
        <v>0</v>
      </c>
      <c r="T384" s="70">
        <f t="shared" si="139"/>
        <v>0</v>
      </c>
      <c r="U384" s="70">
        <f t="shared" si="139"/>
        <v>0</v>
      </c>
      <c r="V384" s="70">
        <f t="shared" si="139"/>
        <v>0</v>
      </c>
      <c r="W384" s="70">
        <f t="shared" si="139"/>
        <v>0</v>
      </c>
      <c r="X384" s="70">
        <f t="shared" si="139"/>
        <v>0</v>
      </c>
      <c r="Y384" s="70">
        <f t="shared" si="139"/>
        <v>0</v>
      </c>
      <c r="Z384" s="70">
        <f t="shared" si="139"/>
        <v>0</v>
      </c>
      <c r="AA384" s="70">
        <f t="shared" si="139"/>
        <v>0</v>
      </c>
      <c r="AB384" s="70">
        <f t="shared" si="139"/>
        <v>0</v>
      </c>
      <c r="AC384" s="70">
        <f t="shared" si="139"/>
        <v>0</v>
      </c>
      <c r="AD384" s="70">
        <f t="shared" si="139"/>
        <v>0</v>
      </c>
    </row>
    <row r="385" spans="1:30" s="104" customFormat="1" outlineLevel="1">
      <c r="A385" s="104" t="str">
        <f>A384</f>
        <v>Mine &amp; Mineral Processing</v>
      </c>
      <c r="B385" s="104" t="s">
        <v>290</v>
      </c>
      <c r="C385" s="105">
        <f>SUM(D385:AD385)</f>
        <v>573.86599000365936</v>
      </c>
      <c r="D385" s="105">
        <f>D384*D$373</f>
        <v>181.79108889051741</v>
      </c>
      <c r="E385" s="105">
        <f t="shared" ref="E385:AD385" si="140">E384*E$373</f>
        <v>360.55232629952621</v>
      </c>
      <c r="F385" s="105">
        <f t="shared" si="140"/>
        <v>31.522574813615719</v>
      </c>
      <c r="G385" s="105">
        <f t="shared" si="140"/>
        <v>0</v>
      </c>
      <c r="H385" s="105">
        <f t="shared" si="140"/>
        <v>0</v>
      </c>
      <c r="I385" s="105">
        <f t="shared" si="140"/>
        <v>0</v>
      </c>
      <c r="J385" s="105">
        <f t="shared" si="140"/>
        <v>0</v>
      </c>
      <c r="K385" s="105">
        <f t="shared" si="140"/>
        <v>0</v>
      </c>
      <c r="L385" s="105">
        <f t="shared" si="140"/>
        <v>0</v>
      </c>
      <c r="M385" s="105">
        <f t="shared" si="140"/>
        <v>0</v>
      </c>
      <c r="N385" s="105">
        <f t="shared" si="140"/>
        <v>0</v>
      </c>
      <c r="O385" s="105">
        <f t="shared" si="140"/>
        <v>0</v>
      </c>
      <c r="P385" s="105">
        <f t="shared" si="140"/>
        <v>0</v>
      </c>
      <c r="Q385" s="105">
        <f t="shared" si="140"/>
        <v>0</v>
      </c>
      <c r="R385" s="105">
        <f t="shared" si="140"/>
        <v>0</v>
      </c>
      <c r="S385" s="105">
        <f t="shared" si="140"/>
        <v>0</v>
      </c>
      <c r="T385" s="105">
        <f t="shared" si="140"/>
        <v>0</v>
      </c>
      <c r="U385" s="105">
        <f t="shared" si="140"/>
        <v>0</v>
      </c>
      <c r="V385" s="105">
        <f t="shared" si="140"/>
        <v>0</v>
      </c>
      <c r="W385" s="105">
        <f t="shared" si="140"/>
        <v>0</v>
      </c>
      <c r="X385" s="105">
        <f t="shared" si="140"/>
        <v>0</v>
      </c>
      <c r="Y385" s="105">
        <f t="shared" si="140"/>
        <v>0</v>
      </c>
      <c r="Z385" s="105">
        <f t="shared" si="140"/>
        <v>0</v>
      </c>
      <c r="AA385" s="105">
        <f t="shared" si="140"/>
        <v>0</v>
      </c>
      <c r="AB385" s="105">
        <f t="shared" si="140"/>
        <v>0</v>
      </c>
      <c r="AC385" s="105">
        <f t="shared" si="140"/>
        <v>0</v>
      </c>
      <c r="AD385" s="105">
        <f t="shared" si="140"/>
        <v>0</v>
      </c>
    </row>
    <row r="386" spans="1:30" ht="14.5" outlineLevel="1">
      <c r="A386" s="276" t="s">
        <v>443</v>
      </c>
      <c r="B386" s="276" t="s">
        <v>27</v>
      </c>
      <c r="C386" s="275">
        <f>18%*2</f>
        <v>0.36</v>
      </c>
      <c r="D386" s="15"/>
      <c r="E386" s="15"/>
      <c r="F386" s="15"/>
      <c r="G386" s="15"/>
      <c r="H386" s="15"/>
      <c r="I386" s="15"/>
      <c r="J386" s="15"/>
      <c r="K386" s="15"/>
      <c r="L386" s="15"/>
      <c r="M386" s="15"/>
      <c r="N386" s="15"/>
      <c r="O386" s="15"/>
      <c r="P386" s="15"/>
      <c r="Q386" s="15"/>
      <c r="R386" s="15"/>
      <c r="S386" s="15"/>
      <c r="T386" s="15"/>
      <c r="U386" s="15"/>
      <c r="V386" s="15"/>
      <c r="W386" s="15"/>
      <c r="X386" s="15"/>
      <c r="Y386" s="15"/>
      <c r="Z386" s="15"/>
      <c r="AA386" s="15"/>
      <c r="AB386" s="15"/>
      <c r="AC386" s="15"/>
      <c r="AD386" s="15"/>
    </row>
    <row r="387" spans="1:30" ht="13.5" outlineLevel="1" thickBot="1">
      <c r="A387" s="134" t="s">
        <v>554</v>
      </c>
      <c r="D387" s="15"/>
      <c r="E387" s="15"/>
      <c r="F387" s="15"/>
      <c r="G387" s="15"/>
      <c r="H387" s="15"/>
      <c r="I387" s="15"/>
      <c r="J387" s="15"/>
      <c r="K387" s="15"/>
      <c r="L387" s="15"/>
      <c r="M387" s="15"/>
      <c r="N387" s="15"/>
      <c r="O387" s="15"/>
      <c r="P387" s="15"/>
      <c r="Q387" s="15"/>
      <c r="R387" s="15"/>
      <c r="S387" s="15"/>
      <c r="T387" s="15"/>
      <c r="U387" s="15"/>
      <c r="V387" s="15"/>
      <c r="W387" s="15"/>
      <c r="X387" s="15"/>
      <c r="Y387" s="15"/>
      <c r="Z387" s="15"/>
      <c r="AA387" s="15"/>
      <c r="AB387" s="15"/>
      <c r="AC387" s="15"/>
      <c r="AD387" s="15"/>
    </row>
    <row r="388" spans="1:30" s="104" customFormat="1" ht="16" outlineLevel="1" thickBot="1">
      <c r="A388" s="104" t="s">
        <v>445</v>
      </c>
      <c r="B388" s="104" t="s">
        <v>290</v>
      </c>
      <c r="C388" s="105"/>
      <c r="D388" s="278">
        <v>3</v>
      </c>
      <c r="E388" s="105">
        <f t="shared" ref="E388" si="141">D390-D391</f>
        <v>184.79108889051741</v>
      </c>
      <c r="F388" s="105">
        <f>E390-E391</f>
        <v>545.34341519004363</v>
      </c>
      <c r="G388" s="105">
        <f t="shared" ref="G388:AD388" si="142">F390-F391</f>
        <v>369.19423360234202</v>
      </c>
      <c r="H388" s="105">
        <f t="shared" si="142"/>
        <v>236.2843095054989</v>
      </c>
      <c r="I388" s="105">
        <f t="shared" si="142"/>
        <v>151.2219580835193</v>
      </c>
      <c r="J388" s="105">
        <f t="shared" si="142"/>
        <v>96.782053173452354</v>
      </c>
      <c r="K388" s="105">
        <f t="shared" si="142"/>
        <v>61.940514031009506</v>
      </c>
      <c r="L388" s="105">
        <f t="shared" si="142"/>
        <v>39.641928979846085</v>
      </c>
      <c r="M388" s="105">
        <f t="shared" si="142"/>
        <v>25.370834547101495</v>
      </c>
      <c r="N388" s="105">
        <f t="shared" si="142"/>
        <v>16.237334110144957</v>
      </c>
      <c r="O388" s="105">
        <f t="shared" si="142"/>
        <v>10.391893830492773</v>
      </c>
      <c r="P388" s="105">
        <f t="shared" si="142"/>
        <v>6.6508120515153752</v>
      </c>
      <c r="Q388" s="105">
        <f t="shared" si="142"/>
        <v>4.2565197129698404</v>
      </c>
      <c r="R388" s="105">
        <f t="shared" si="142"/>
        <v>2.7241726163006978</v>
      </c>
      <c r="S388" s="105">
        <f t="shared" si="142"/>
        <v>1.7434704744324465</v>
      </c>
      <c r="T388" s="105">
        <f t="shared" si="142"/>
        <v>1.1158211036367658</v>
      </c>
      <c r="U388" s="105">
        <f t="shared" si="142"/>
        <v>0.71412550632753014</v>
      </c>
      <c r="V388" s="105">
        <f t="shared" si="142"/>
        <v>0.71412550632753014</v>
      </c>
      <c r="W388" s="105">
        <f t="shared" si="142"/>
        <v>0.71412550632753014</v>
      </c>
      <c r="X388" s="105">
        <f t="shared" si="142"/>
        <v>0.71412550632753014</v>
      </c>
      <c r="Y388" s="105">
        <f t="shared" si="142"/>
        <v>0.71412550632753014</v>
      </c>
      <c r="Z388" s="105">
        <f t="shared" si="142"/>
        <v>0.71412550632753014</v>
      </c>
      <c r="AA388" s="105">
        <f t="shared" si="142"/>
        <v>0.71412550632753014</v>
      </c>
      <c r="AB388" s="105">
        <f t="shared" si="142"/>
        <v>0.71412550632753014</v>
      </c>
      <c r="AC388" s="105">
        <f t="shared" si="142"/>
        <v>0.71412550632753014</v>
      </c>
      <c r="AD388" s="105">
        <f t="shared" si="142"/>
        <v>0.71412550632753014</v>
      </c>
    </row>
    <row r="389" spans="1:30" s="104" customFormat="1" outlineLevel="1">
      <c r="A389" s="104" t="str">
        <f>A385</f>
        <v>Mine &amp; Mineral Processing</v>
      </c>
      <c r="B389" s="104" t="str">
        <f>B385</f>
        <v>A$ millions NOMINAL</v>
      </c>
      <c r="C389" s="105">
        <f>SUM(D389:AD389)</f>
        <v>573.86599000365936</v>
      </c>
      <c r="D389" s="105">
        <f t="shared" ref="D389:AD389" si="143">D385</f>
        <v>181.79108889051741</v>
      </c>
      <c r="E389" s="105">
        <f t="shared" si="143"/>
        <v>360.55232629952621</v>
      </c>
      <c r="F389" s="105">
        <f t="shared" si="143"/>
        <v>31.522574813615719</v>
      </c>
      <c r="G389" s="105">
        <f t="shared" si="143"/>
        <v>0</v>
      </c>
      <c r="H389" s="105">
        <f t="shared" si="143"/>
        <v>0</v>
      </c>
      <c r="I389" s="105">
        <f t="shared" si="143"/>
        <v>0</v>
      </c>
      <c r="J389" s="105">
        <f t="shared" si="143"/>
        <v>0</v>
      </c>
      <c r="K389" s="105">
        <f t="shared" si="143"/>
        <v>0</v>
      </c>
      <c r="L389" s="105">
        <f t="shared" si="143"/>
        <v>0</v>
      </c>
      <c r="M389" s="105">
        <f t="shared" si="143"/>
        <v>0</v>
      </c>
      <c r="N389" s="105">
        <f t="shared" si="143"/>
        <v>0</v>
      </c>
      <c r="O389" s="105">
        <f t="shared" si="143"/>
        <v>0</v>
      </c>
      <c r="P389" s="105">
        <f t="shared" si="143"/>
        <v>0</v>
      </c>
      <c r="Q389" s="105">
        <f t="shared" si="143"/>
        <v>0</v>
      </c>
      <c r="R389" s="105">
        <f t="shared" si="143"/>
        <v>0</v>
      </c>
      <c r="S389" s="105">
        <f t="shared" si="143"/>
        <v>0</v>
      </c>
      <c r="T389" s="105">
        <f t="shared" si="143"/>
        <v>0</v>
      </c>
      <c r="U389" s="105">
        <f t="shared" si="143"/>
        <v>0</v>
      </c>
      <c r="V389" s="105">
        <f t="shared" si="143"/>
        <v>0</v>
      </c>
      <c r="W389" s="105">
        <f t="shared" si="143"/>
        <v>0</v>
      </c>
      <c r="X389" s="105">
        <f t="shared" si="143"/>
        <v>0</v>
      </c>
      <c r="Y389" s="105">
        <f t="shared" si="143"/>
        <v>0</v>
      </c>
      <c r="Z389" s="105">
        <f t="shared" si="143"/>
        <v>0</v>
      </c>
      <c r="AA389" s="105">
        <f t="shared" si="143"/>
        <v>0</v>
      </c>
      <c r="AB389" s="105">
        <f t="shared" si="143"/>
        <v>0</v>
      </c>
      <c r="AC389" s="105">
        <f t="shared" si="143"/>
        <v>0</v>
      </c>
      <c r="AD389" s="105">
        <f t="shared" si="143"/>
        <v>0</v>
      </c>
    </row>
    <row r="390" spans="1:30" s="104" customFormat="1" outlineLevel="1">
      <c r="A390" s="104" t="s">
        <v>168</v>
      </c>
      <c r="B390" s="104" t="s">
        <v>290</v>
      </c>
      <c r="C390" s="105"/>
      <c r="D390" s="106">
        <f t="shared" ref="D390:AD390" si="144">D388+D389</f>
        <v>184.79108889051741</v>
      </c>
      <c r="E390" s="106">
        <f t="shared" si="144"/>
        <v>545.34341519004363</v>
      </c>
      <c r="F390" s="106">
        <f t="shared" si="144"/>
        <v>576.86599000365936</v>
      </c>
      <c r="G390" s="106">
        <f t="shared" si="144"/>
        <v>369.19423360234202</v>
      </c>
      <c r="H390" s="106">
        <f t="shared" si="144"/>
        <v>236.2843095054989</v>
      </c>
      <c r="I390" s="106">
        <f t="shared" si="144"/>
        <v>151.2219580835193</v>
      </c>
      <c r="J390" s="106">
        <f t="shared" si="144"/>
        <v>96.782053173452354</v>
      </c>
      <c r="K390" s="106">
        <f t="shared" si="144"/>
        <v>61.940514031009506</v>
      </c>
      <c r="L390" s="106">
        <f t="shared" si="144"/>
        <v>39.641928979846085</v>
      </c>
      <c r="M390" s="106">
        <f t="shared" si="144"/>
        <v>25.370834547101495</v>
      </c>
      <c r="N390" s="106">
        <f t="shared" si="144"/>
        <v>16.237334110144957</v>
      </c>
      <c r="O390" s="106">
        <f t="shared" si="144"/>
        <v>10.391893830492773</v>
      </c>
      <c r="P390" s="106">
        <f t="shared" si="144"/>
        <v>6.6508120515153752</v>
      </c>
      <c r="Q390" s="106">
        <f t="shared" si="144"/>
        <v>4.2565197129698404</v>
      </c>
      <c r="R390" s="106">
        <f t="shared" si="144"/>
        <v>2.7241726163006978</v>
      </c>
      <c r="S390" s="106">
        <f t="shared" si="144"/>
        <v>1.7434704744324465</v>
      </c>
      <c r="T390" s="106">
        <f t="shared" si="144"/>
        <v>1.1158211036367658</v>
      </c>
      <c r="U390" s="106">
        <f t="shared" si="144"/>
        <v>0.71412550632753014</v>
      </c>
      <c r="V390" s="106">
        <f t="shared" si="144"/>
        <v>0.71412550632753014</v>
      </c>
      <c r="W390" s="106">
        <f t="shared" si="144"/>
        <v>0.71412550632753014</v>
      </c>
      <c r="X390" s="106">
        <f t="shared" si="144"/>
        <v>0.71412550632753014</v>
      </c>
      <c r="Y390" s="106">
        <f t="shared" si="144"/>
        <v>0.71412550632753014</v>
      </c>
      <c r="Z390" s="106">
        <f t="shared" si="144"/>
        <v>0.71412550632753014</v>
      </c>
      <c r="AA390" s="106">
        <f t="shared" si="144"/>
        <v>0.71412550632753014</v>
      </c>
      <c r="AB390" s="106">
        <f t="shared" si="144"/>
        <v>0.71412550632753014</v>
      </c>
      <c r="AC390" s="106">
        <f t="shared" si="144"/>
        <v>0.71412550632753014</v>
      </c>
      <c r="AD390" s="106">
        <f t="shared" si="144"/>
        <v>0.71412550632753014</v>
      </c>
    </row>
    <row r="391" spans="1:30" s="104" customFormat="1" ht="12.65" customHeight="1" outlineLevel="1">
      <c r="A391" s="104" t="s">
        <v>447</v>
      </c>
      <c r="B391" s="104" t="s">
        <v>290</v>
      </c>
      <c r="C391" s="105">
        <f>SUM(D391:AD391)</f>
        <v>576.15186449733176</v>
      </c>
      <c r="D391" s="105">
        <f t="shared" ref="D391:AD391" si="145">IF(D154=0,0,D390*$C386)</f>
        <v>0</v>
      </c>
      <c r="E391" s="105">
        <f t="shared" si="145"/>
        <v>0</v>
      </c>
      <c r="F391" s="105">
        <f t="shared" si="145"/>
        <v>207.67175640131737</v>
      </c>
      <c r="G391" s="105">
        <f t="shared" si="145"/>
        <v>132.90992409684313</v>
      </c>
      <c r="H391" s="105">
        <f t="shared" si="145"/>
        <v>85.062351421979599</v>
      </c>
      <c r="I391" s="105">
        <f t="shared" si="145"/>
        <v>54.439904910066943</v>
      </c>
      <c r="J391" s="105">
        <f t="shared" si="145"/>
        <v>34.841539142442848</v>
      </c>
      <c r="K391" s="105">
        <f t="shared" si="145"/>
        <v>22.298585051163421</v>
      </c>
      <c r="L391" s="105">
        <f t="shared" si="145"/>
        <v>14.27109443274459</v>
      </c>
      <c r="M391" s="105">
        <f t="shared" si="145"/>
        <v>9.1335004369565382</v>
      </c>
      <c r="N391" s="105">
        <f t="shared" si="145"/>
        <v>5.845440279652184</v>
      </c>
      <c r="O391" s="105">
        <f t="shared" si="145"/>
        <v>3.741081778977398</v>
      </c>
      <c r="P391" s="105">
        <f t="shared" si="145"/>
        <v>2.3942923385455348</v>
      </c>
      <c r="Q391" s="105">
        <f t="shared" si="145"/>
        <v>1.5323470966691426</v>
      </c>
      <c r="R391" s="105">
        <f t="shared" si="145"/>
        <v>0.98070214186825122</v>
      </c>
      <c r="S391" s="105">
        <f t="shared" si="145"/>
        <v>0.62764937079568073</v>
      </c>
      <c r="T391" s="105">
        <f t="shared" si="145"/>
        <v>0.40169559730923565</v>
      </c>
      <c r="U391" s="105">
        <f t="shared" si="145"/>
        <v>0</v>
      </c>
      <c r="V391" s="105">
        <f t="shared" si="145"/>
        <v>0</v>
      </c>
      <c r="W391" s="105">
        <f t="shared" si="145"/>
        <v>0</v>
      </c>
      <c r="X391" s="105">
        <f t="shared" si="145"/>
        <v>0</v>
      </c>
      <c r="Y391" s="105">
        <f t="shared" si="145"/>
        <v>0</v>
      </c>
      <c r="Z391" s="105">
        <f t="shared" si="145"/>
        <v>0</v>
      </c>
      <c r="AA391" s="105">
        <f t="shared" si="145"/>
        <v>0</v>
      </c>
      <c r="AB391" s="105">
        <f t="shared" si="145"/>
        <v>0</v>
      </c>
      <c r="AC391" s="105">
        <f t="shared" si="145"/>
        <v>0</v>
      </c>
      <c r="AD391" s="105">
        <f t="shared" si="145"/>
        <v>0</v>
      </c>
    </row>
    <row r="392" spans="1:30" s="104" customFormat="1" ht="12.65" customHeight="1" outlineLevel="1">
      <c r="A392" s="104" t="s">
        <v>448</v>
      </c>
      <c r="B392" s="104" t="s">
        <v>290</v>
      </c>
      <c r="C392" s="105">
        <f>SUM(D392:AD392)</f>
        <v>576.86599000365936</v>
      </c>
      <c r="D392" s="105">
        <f t="shared" ref="D392:AD392" si="146">IF(AND(D154&gt;0,E154=0),D390,D391)</f>
        <v>0</v>
      </c>
      <c r="E392" s="105">
        <f t="shared" si="146"/>
        <v>0</v>
      </c>
      <c r="F392" s="105">
        <f t="shared" si="146"/>
        <v>207.67175640131737</v>
      </c>
      <c r="G392" s="105">
        <f t="shared" si="146"/>
        <v>132.90992409684313</v>
      </c>
      <c r="H392" s="105">
        <f t="shared" si="146"/>
        <v>85.062351421979599</v>
      </c>
      <c r="I392" s="105">
        <f t="shared" si="146"/>
        <v>54.439904910066943</v>
      </c>
      <c r="J392" s="105">
        <f t="shared" si="146"/>
        <v>34.841539142442848</v>
      </c>
      <c r="K392" s="105">
        <f t="shared" si="146"/>
        <v>22.298585051163421</v>
      </c>
      <c r="L392" s="105">
        <f t="shared" si="146"/>
        <v>14.27109443274459</v>
      </c>
      <c r="M392" s="105">
        <f t="shared" si="146"/>
        <v>9.1335004369565382</v>
      </c>
      <c r="N392" s="105">
        <f t="shared" si="146"/>
        <v>5.845440279652184</v>
      </c>
      <c r="O392" s="105">
        <f t="shared" si="146"/>
        <v>3.741081778977398</v>
      </c>
      <c r="P392" s="105">
        <f t="shared" si="146"/>
        <v>2.3942923385455348</v>
      </c>
      <c r="Q392" s="105">
        <f t="shared" si="146"/>
        <v>1.5323470966691426</v>
      </c>
      <c r="R392" s="105">
        <f t="shared" si="146"/>
        <v>0.98070214186825122</v>
      </c>
      <c r="S392" s="105">
        <f t="shared" si="146"/>
        <v>0.62764937079568073</v>
      </c>
      <c r="T392" s="105">
        <f t="shared" si="146"/>
        <v>1.1158211036367658</v>
      </c>
      <c r="U392" s="105">
        <f t="shared" si="146"/>
        <v>0</v>
      </c>
      <c r="V392" s="105">
        <f t="shared" si="146"/>
        <v>0</v>
      </c>
      <c r="W392" s="105">
        <f t="shared" si="146"/>
        <v>0</v>
      </c>
      <c r="X392" s="105">
        <f t="shared" si="146"/>
        <v>0</v>
      </c>
      <c r="Y392" s="105">
        <f t="shared" si="146"/>
        <v>0</v>
      </c>
      <c r="Z392" s="105">
        <f t="shared" si="146"/>
        <v>0</v>
      </c>
      <c r="AA392" s="105">
        <f t="shared" si="146"/>
        <v>0</v>
      </c>
      <c r="AB392" s="105">
        <f t="shared" si="146"/>
        <v>0</v>
      </c>
      <c r="AC392" s="105">
        <f t="shared" si="146"/>
        <v>0</v>
      </c>
      <c r="AD392" s="105">
        <f t="shared" si="146"/>
        <v>0</v>
      </c>
    </row>
    <row r="393" spans="1:30" outlineLevel="1">
      <c r="A393" s="143" t="s">
        <v>444</v>
      </c>
      <c r="C393" s="42" t="str">
        <f>IF(C385+D388=C392,"OK","CHECK!")</f>
        <v>OK</v>
      </c>
      <c r="D393" s="42"/>
      <c r="E393" s="42"/>
      <c r="F393" s="42"/>
      <c r="G393" s="42"/>
      <c r="H393" s="42"/>
      <c r="I393" s="42"/>
      <c r="J393" s="42"/>
      <c r="K393" s="42"/>
      <c r="L393" s="42"/>
      <c r="M393" s="42"/>
      <c r="N393" s="42"/>
      <c r="O393" s="42"/>
      <c r="P393" s="42"/>
      <c r="Q393" s="42"/>
      <c r="R393" s="42"/>
      <c r="S393" s="42"/>
      <c r="T393" s="42"/>
      <c r="U393" s="42"/>
      <c r="V393" s="42"/>
      <c r="W393" s="42"/>
      <c r="X393" s="42"/>
      <c r="Y393" s="42"/>
      <c r="Z393" s="42"/>
      <c r="AA393" s="42"/>
      <c r="AB393" s="42"/>
      <c r="AC393" s="42"/>
      <c r="AD393" s="42"/>
    </row>
    <row r="394" spans="1:30" outlineLevel="1">
      <c r="A394" s="49" t="s">
        <v>466</v>
      </c>
      <c r="C394" s="42"/>
      <c r="D394" s="42"/>
      <c r="E394" s="42"/>
      <c r="F394" s="42"/>
      <c r="G394" s="42"/>
      <c r="H394" s="42"/>
      <c r="I394" s="42"/>
      <c r="J394" s="42"/>
      <c r="K394" s="42"/>
      <c r="L394" s="42"/>
      <c r="M394" s="42"/>
      <c r="N394" s="42"/>
      <c r="O394" s="42"/>
      <c r="P394" s="42"/>
      <c r="Q394" s="42"/>
      <c r="R394" s="42"/>
      <c r="S394" s="42"/>
      <c r="T394" s="42"/>
      <c r="U394" s="42"/>
      <c r="V394" s="42"/>
      <c r="W394" s="42"/>
      <c r="X394" s="42"/>
      <c r="Y394" s="42"/>
      <c r="Z394" s="42"/>
      <c r="AA394" s="42"/>
      <c r="AB394" s="42"/>
      <c r="AC394" s="42"/>
      <c r="AD394" s="42"/>
    </row>
    <row r="395" spans="1:30" outlineLevel="1">
      <c r="A395" s="134" t="s">
        <v>555</v>
      </c>
      <c r="D395" s="15"/>
      <c r="E395" s="15"/>
      <c r="F395" s="15"/>
      <c r="G395" s="15"/>
      <c r="H395" s="15"/>
      <c r="I395" s="15"/>
      <c r="J395" s="15"/>
      <c r="K395" s="15"/>
      <c r="L395" s="15"/>
      <c r="M395" s="15"/>
      <c r="N395" s="15"/>
      <c r="O395" s="15"/>
      <c r="P395" s="15"/>
      <c r="Q395" s="15"/>
      <c r="R395" s="15"/>
      <c r="S395" s="15"/>
      <c r="T395" s="15"/>
      <c r="U395" s="15"/>
      <c r="V395" s="15"/>
      <c r="W395" s="15"/>
      <c r="X395" s="15"/>
      <c r="Y395" s="15"/>
      <c r="Z395" s="15"/>
      <c r="AA395" s="15"/>
      <c r="AB395" s="15"/>
      <c r="AC395" s="15"/>
      <c r="AD395" s="15"/>
    </row>
    <row r="396" spans="1:30" outlineLevel="1">
      <c r="A396" s="45" t="str">
        <f t="shared" ref="A396:B400" si="147">A341</f>
        <v>Infrastructure &amp; Utiities</v>
      </c>
      <c r="B396" s="45" t="str">
        <f t="shared" si="147"/>
        <v>A$ million Real</v>
      </c>
      <c r="C396" s="42">
        <f>SUM(D396:AD396)</f>
        <v>83</v>
      </c>
      <c r="D396" s="42">
        <f t="shared" ref="D396:AD400" si="148">D341</f>
        <v>30</v>
      </c>
      <c r="E396" s="42">
        <f t="shared" si="148"/>
        <v>45</v>
      </c>
      <c r="F396" s="42">
        <f t="shared" si="148"/>
        <v>8</v>
      </c>
      <c r="G396" s="42">
        <f t="shared" si="148"/>
        <v>0</v>
      </c>
      <c r="H396" s="42">
        <f t="shared" si="148"/>
        <v>0</v>
      </c>
      <c r="I396" s="42">
        <f t="shared" si="148"/>
        <v>0</v>
      </c>
      <c r="J396" s="42">
        <f t="shared" si="148"/>
        <v>0</v>
      </c>
      <c r="K396" s="42">
        <f t="shared" si="148"/>
        <v>0</v>
      </c>
      <c r="L396" s="42">
        <f t="shared" si="148"/>
        <v>0</v>
      </c>
      <c r="M396" s="42">
        <f t="shared" si="148"/>
        <v>0</v>
      </c>
      <c r="N396" s="42">
        <f t="shared" si="148"/>
        <v>0</v>
      </c>
      <c r="O396" s="42">
        <f t="shared" si="148"/>
        <v>0</v>
      </c>
      <c r="P396" s="42">
        <f t="shared" si="148"/>
        <v>0</v>
      </c>
      <c r="Q396" s="42">
        <f t="shared" si="148"/>
        <v>0</v>
      </c>
      <c r="R396" s="42">
        <f t="shared" si="148"/>
        <v>0</v>
      </c>
      <c r="S396" s="42">
        <f t="shared" si="148"/>
        <v>0</v>
      </c>
      <c r="T396" s="42">
        <f t="shared" si="148"/>
        <v>0</v>
      </c>
      <c r="U396" s="42">
        <f t="shared" si="148"/>
        <v>0</v>
      </c>
      <c r="V396" s="42">
        <f t="shared" si="148"/>
        <v>0</v>
      </c>
      <c r="W396" s="42">
        <f t="shared" si="148"/>
        <v>0</v>
      </c>
      <c r="X396" s="42">
        <f t="shared" si="148"/>
        <v>0</v>
      </c>
      <c r="Y396" s="42">
        <f t="shared" si="148"/>
        <v>0</v>
      </c>
      <c r="Z396" s="42">
        <f t="shared" si="148"/>
        <v>0</v>
      </c>
      <c r="AA396" s="42">
        <f t="shared" si="148"/>
        <v>0</v>
      </c>
      <c r="AB396" s="42">
        <f t="shared" si="148"/>
        <v>0</v>
      </c>
      <c r="AC396" s="42">
        <f t="shared" si="148"/>
        <v>0</v>
      </c>
      <c r="AD396" s="42">
        <f t="shared" si="148"/>
        <v>0</v>
      </c>
    </row>
    <row r="397" spans="1:30" outlineLevel="1">
      <c r="A397" s="45" t="str">
        <f t="shared" si="147"/>
        <v>Spares and First Fill</v>
      </c>
      <c r="B397" s="45" t="str">
        <f t="shared" si="147"/>
        <v>A$ million Real</v>
      </c>
      <c r="C397" s="42">
        <f t="shared" ref="C397:C401" si="149">SUM(D397:AD397)</f>
        <v>12</v>
      </c>
      <c r="D397" s="42">
        <f t="shared" si="148"/>
        <v>0</v>
      </c>
      <c r="E397" s="42">
        <f t="shared" si="148"/>
        <v>0</v>
      </c>
      <c r="F397" s="42">
        <f t="shared" si="148"/>
        <v>12</v>
      </c>
      <c r="G397" s="42">
        <f t="shared" si="148"/>
        <v>0</v>
      </c>
      <c r="H397" s="42">
        <f t="shared" si="148"/>
        <v>0</v>
      </c>
      <c r="I397" s="42">
        <f t="shared" si="148"/>
        <v>0</v>
      </c>
      <c r="J397" s="42">
        <f t="shared" si="148"/>
        <v>0</v>
      </c>
      <c r="K397" s="42">
        <f t="shared" si="148"/>
        <v>0</v>
      </c>
      <c r="L397" s="42">
        <f t="shared" si="148"/>
        <v>0</v>
      </c>
      <c r="M397" s="42">
        <f t="shared" si="148"/>
        <v>0</v>
      </c>
      <c r="N397" s="42">
        <f t="shared" si="148"/>
        <v>0</v>
      </c>
      <c r="O397" s="42">
        <f t="shared" si="148"/>
        <v>0</v>
      </c>
      <c r="P397" s="42">
        <f t="shared" si="148"/>
        <v>0</v>
      </c>
      <c r="Q397" s="42">
        <f t="shared" si="148"/>
        <v>0</v>
      </c>
      <c r="R397" s="42">
        <f t="shared" si="148"/>
        <v>0</v>
      </c>
      <c r="S397" s="42">
        <f t="shared" si="148"/>
        <v>0</v>
      </c>
      <c r="T397" s="42">
        <f t="shared" si="148"/>
        <v>0</v>
      </c>
      <c r="U397" s="42">
        <f t="shared" si="148"/>
        <v>0</v>
      </c>
      <c r="V397" s="42">
        <f t="shared" si="148"/>
        <v>0</v>
      </c>
      <c r="W397" s="42">
        <f t="shared" si="148"/>
        <v>0</v>
      </c>
      <c r="X397" s="42">
        <f t="shared" si="148"/>
        <v>0</v>
      </c>
      <c r="Y397" s="42">
        <f t="shared" si="148"/>
        <v>0</v>
      </c>
      <c r="Z397" s="42">
        <f t="shared" si="148"/>
        <v>0</v>
      </c>
      <c r="AA397" s="42">
        <f t="shared" si="148"/>
        <v>0</v>
      </c>
      <c r="AB397" s="42">
        <f t="shared" si="148"/>
        <v>0</v>
      </c>
      <c r="AC397" s="42">
        <f t="shared" si="148"/>
        <v>0</v>
      </c>
      <c r="AD397" s="42">
        <f t="shared" si="148"/>
        <v>0</v>
      </c>
    </row>
    <row r="398" spans="1:30" outlineLevel="1">
      <c r="A398" s="45" t="str">
        <f t="shared" si="147"/>
        <v>EPCM</v>
      </c>
      <c r="B398" s="45" t="str">
        <f t="shared" si="147"/>
        <v>A$ million Real</v>
      </c>
      <c r="C398" s="42">
        <f t="shared" si="149"/>
        <v>56</v>
      </c>
      <c r="D398" s="42">
        <f t="shared" si="148"/>
        <v>20</v>
      </c>
      <c r="E398" s="42">
        <f t="shared" si="148"/>
        <v>30</v>
      </c>
      <c r="F398" s="42">
        <f t="shared" si="148"/>
        <v>6</v>
      </c>
      <c r="G398" s="42">
        <f t="shared" si="148"/>
        <v>0</v>
      </c>
      <c r="H398" s="42">
        <f t="shared" si="148"/>
        <v>0</v>
      </c>
      <c r="I398" s="42">
        <f t="shared" si="148"/>
        <v>0</v>
      </c>
      <c r="J398" s="42">
        <f t="shared" si="148"/>
        <v>0</v>
      </c>
      <c r="K398" s="42">
        <f t="shared" si="148"/>
        <v>0</v>
      </c>
      <c r="L398" s="42">
        <f t="shared" si="148"/>
        <v>0</v>
      </c>
      <c r="M398" s="42">
        <f t="shared" si="148"/>
        <v>0</v>
      </c>
      <c r="N398" s="42">
        <f t="shared" si="148"/>
        <v>0</v>
      </c>
      <c r="O398" s="42">
        <f t="shared" si="148"/>
        <v>0</v>
      </c>
      <c r="P398" s="42">
        <f t="shared" si="148"/>
        <v>0</v>
      </c>
      <c r="Q398" s="42">
        <f t="shared" si="148"/>
        <v>0</v>
      </c>
      <c r="R398" s="42">
        <f t="shared" si="148"/>
        <v>0</v>
      </c>
      <c r="S398" s="42">
        <f t="shared" si="148"/>
        <v>0</v>
      </c>
      <c r="T398" s="42">
        <f t="shared" si="148"/>
        <v>0</v>
      </c>
      <c r="U398" s="42">
        <f t="shared" si="148"/>
        <v>0</v>
      </c>
      <c r="V398" s="42">
        <f t="shared" si="148"/>
        <v>0</v>
      </c>
      <c r="W398" s="42">
        <f t="shared" si="148"/>
        <v>0</v>
      </c>
      <c r="X398" s="42">
        <f t="shared" si="148"/>
        <v>0</v>
      </c>
      <c r="Y398" s="42">
        <f t="shared" si="148"/>
        <v>0</v>
      </c>
      <c r="Z398" s="42">
        <f t="shared" si="148"/>
        <v>0</v>
      </c>
      <c r="AA398" s="42">
        <f t="shared" si="148"/>
        <v>0</v>
      </c>
      <c r="AB398" s="42">
        <f t="shared" si="148"/>
        <v>0</v>
      </c>
      <c r="AC398" s="42">
        <f t="shared" si="148"/>
        <v>0</v>
      </c>
      <c r="AD398" s="42">
        <f t="shared" si="148"/>
        <v>0</v>
      </c>
    </row>
    <row r="399" spans="1:30" outlineLevel="1">
      <c r="A399" s="45" t="str">
        <f t="shared" si="147"/>
        <v>Indirects &amp; Contingency</v>
      </c>
      <c r="B399" s="45" t="str">
        <f t="shared" si="147"/>
        <v>A$ million Real</v>
      </c>
      <c r="C399" s="42">
        <f t="shared" si="149"/>
        <v>77</v>
      </c>
      <c r="D399" s="42">
        <f t="shared" si="148"/>
        <v>25</v>
      </c>
      <c r="E399" s="42">
        <f t="shared" si="148"/>
        <v>45</v>
      </c>
      <c r="F399" s="42">
        <f t="shared" si="148"/>
        <v>7</v>
      </c>
      <c r="G399" s="42">
        <f t="shared" si="148"/>
        <v>0</v>
      </c>
      <c r="H399" s="42">
        <f t="shared" si="148"/>
        <v>0</v>
      </c>
      <c r="I399" s="42">
        <f t="shared" si="148"/>
        <v>0</v>
      </c>
      <c r="J399" s="42">
        <f t="shared" si="148"/>
        <v>0</v>
      </c>
      <c r="K399" s="42">
        <f t="shared" si="148"/>
        <v>0</v>
      </c>
      <c r="L399" s="42">
        <f t="shared" si="148"/>
        <v>0</v>
      </c>
      <c r="M399" s="42">
        <f t="shared" si="148"/>
        <v>0</v>
      </c>
      <c r="N399" s="42">
        <f t="shared" si="148"/>
        <v>0</v>
      </c>
      <c r="O399" s="42">
        <f t="shared" si="148"/>
        <v>0</v>
      </c>
      <c r="P399" s="42">
        <f t="shared" si="148"/>
        <v>0</v>
      </c>
      <c r="Q399" s="42">
        <f t="shared" si="148"/>
        <v>0</v>
      </c>
      <c r="R399" s="42">
        <f t="shared" si="148"/>
        <v>0</v>
      </c>
      <c r="S399" s="42">
        <f t="shared" si="148"/>
        <v>0</v>
      </c>
      <c r="T399" s="42">
        <f t="shared" si="148"/>
        <v>0</v>
      </c>
      <c r="U399" s="42">
        <f t="shared" si="148"/>
        <v>0</v>
      </c>
      <c r="V399" s="42">
        <f t="shared" si="148"/>
        <v>0</v>
      </c>
      <c r="W399" s="42">
        <f t="shared" si="148"/>
        <v>0</v>
      </c>
      <c r="X399" s="42">
        <f t="shared" si="148"/>
        <v>0</v>
      </c>
      <c r="Y399" s="42">
        <f t="shared" si="148"/>
        <v>0</v>
      </c>
      <c r="Z399" s="42">
        <f t="shared" si="148"/>
        <v>0</v>
      </c>
      <c r="AA399" s="42">
        <f t="shared" si="148"/>
        <v>0</v>
      </c>
      <c r="AB399" s="42">
        <f t="shared" si="148"/>
        <v>0</v>
      </c>
      <c r="AC399" s="42">
        <f t="shared" si="148"/>
        <v>0</v>
      </c>
      <c r="AD399" s="42">
        <f t="shared" si="148"/>
        <v>0</v>
      </c>
    </row>
    <row r="400" spans="1:30" outlineLevel="1">
      <c r="A400" s="45" t="str">
        <f t="shared" si="147"/>
        <v>Other</v>
      </c>
      <c r="B400" s="45" t="str">
        <f t="shared" si="147"/>
        <v>A$ million Real</v>
      </c>
      <c r="C400" s="42">
        <f t="shared" si="149"/>
        <v>0</v>
      </c>
      <c r="D400" s="42">
        <f t="shared" si="148"/>
        <v>0</v>
      </c>
      <c r="E400" s="42">
        <f t="shared" si="148"/>
        <v>0</v>
      </c>
      <c r="F400" s="42">
        <f t="shared" si="148"/>
        <v>0</v>
      </c>
      <c r="G400" s="42">
        <f t="shared" si="148"/>
        <v>0</v>
      </c>
      <c r="H400" s="42">
        <f t="shared" si="148"/>
        <v>0</v>
      </c>
      <c r="I400" s="42">
        <f t="shared" si="148"/>
        <v>0</v>
      </c>
      <c r="J400" s="42">
        <f t="shared" si="148"/>
        <v>0</v>
      </c>
      <c r="K400" s="42">
        <f t="shared" si="148"/>
        <v>0</v>
      </c>
      <c r="L400" s="42">
        <f t="shared" si="148"/>
        <v>0</v>
      </c>
      <c r="M400" s="42">
        <f t="shared" si="148"/>
        <v>0</v>
      </c>
      <c r="N400" s="42">
        <f t="shared" si="148"/>
        <v>0</v>
      </c>
      <c r="O400" s="42">
        <f t="shared" si="148"/>
        <v>0</v>
      </c>
      <c r="P400" s="42">
        <f t="shared" si="148"/>
        <v>0</v>
      </c>
      <c r="Q400" s="42">
        <f t="shared" si="148"/>
        <v>0</v>
      </c>
      <c r="R400" s="42">
        <f t="shared" si="148"/>
        <v>0</v>
      </c>
      <c r="S400" s="42">
        <f t="shared" si="148"/>
        <v>0</v>
      </c>
      <c r="T400" s="42">
        <f t="shared" si="148"/>
        <v>0</v>
      </c>
      <c r="U400" s="42">
        <f t="shared" si="148"/>
        <v>0</v>
      </c>
      <c r="V400" s="42">
        <f t="shared" si="148"/>
        <v>0</v>
      </c>
      <c r="W400" s="42">
        <f t="shared" si="148"/>
        <v>0</v>
      </c>
      <c r="X400" s="42">
        <f t="shared" si="148"/>
        <v>0</v>
      </c>
      <c r="Y400" s="42">
        <f t="shared" si="148"/>
        <v>0</v>
      </c>
      <c r="Z400" s="42">
        <f t="shared" si="148"/>
        <v>0</v>
      </c>
      <c r="AA400" s="42">
        <f t="shared" si="148"/>
        <v>0</v>
      </c>
      <c r="AB400" s="42">
        <f t="shared" si="148"/>
        <v>0</v>
      </c>
      <c r="AC400" s="42">
        <f t="shared" si="148"/>
        <v>0</v>
      </c>
      <c r="AD400" s="42">
        <f t="shared" si="148"/>
        <v>0</v>
      </c>
    </row>
    <row r="401" spans="1:30" outlineLevel="1">
      <c r="A401" s="45" t="str">
        <f>A354</f>
        <v>ongoing capex</v>
      </c>
      <c r="B401" s="45" t="str">
        <f>B354</f>
        <v>A$ million Real</v>
      </c>
      <c r="C401" s="42">
        <f t="shared" si="149"/>
        <v>432.59999999999985</v>
      </c>
      <c r="D401" s="42">
        <f t="shared" ref="D401:AD401" si="150">D354</f>
        <v>0</v>
      </c>
      <c r="E401" s="42">
        <f t="shared" si="150"/>
        <v>0</v>
      </c>
      <c r="F401" s="42">
        <f t="shared" si="150"/>
        <v>24.84</v>
      </c>
      <c r="G401" s="42">
        <f t="shared" si="150"/>
        <v>24.84</v>
      </c>
      <c r="H401" s="42">
        <f t="shared" si="150"/>
        <v>24.84</v>
      </c>
      <c r="I401" s="42">
        <f t="shared" si="150"/>
        <v>49.84</v>
      </c>
      <c r="J401" s="42">
        <f t="shared" si="150"/>
        <v>24.84</v>
      </c>
      <c r="K401" s="42">
        <f t="shared" si="150"/>
        <v>24.84</v>
      </c>
      <c r="L401" s="42">
        <f t="shared" si="150"/>
        <v>24.84</v>
      </c>
      <c r="M401" s="42">
        <f t="shared" si="150"/>
        <v>44.84</v>
      </c>
      <c r="N401" s="42">
        <f t="shared" si="150"/>
        <v>24.84</v>
      </c>
      <c r="O401" s="42">
        <f t="shared" si="150"/>
        <v>24.84</v>
      </c>
      <c r="P401" s="42">
        <f t="shared" si="150"/>
        <v>24.84</v>
      </c>
      <c r="Q401" s="42">
        <f t="shared" si="150"/>
        <v>39.840000000000003</v>
      </c>
      <c r="R401" s="42">
        <f t="shared" si="150"/>
        <v>24.84</v>
      </c>
      <c r="S401" s="42">
        <f t="shared" si="150"/>
        <v>24.84</v>
      </c>
      <c r="T401" s="42">
        <f t="shared" si="150"/>
        <v>24.84</v>
      </c>
      <c r="U401" s="42">
        <f t="shared" si="150"/>
        <v>0</v>
      </c>
      <c r="V401" s="42">
        <f t="shared" si="150"/>
        <v>0</v>
      </c>
      <c r="W401" s="42">
        <f t="shared" si="150"/>
        <v>0</v>
      </c>
      <c r="X401" s="42">
        <f t="shared" si="150"/>
        <v>0</v>
      </c>
      <c r="Y401" s="42">
        <f t="shared" si="150"/>
        <v>0</v>
      </c>
      <c r="Z401" s="42">
        <f t="shared" si="150"/>
        <v>0</v>
      </c>
      <c r="AA401" s="42">
        <f t="shared" si="150"/>
        <v>0</v>
      </c>
      <c r="AB401" s="42">
        <f t="shared" si="150"/>
        <v>0</v>
      </c>
      <c r="AC401" s="42">
        <f t="shared" si="150"/>
        <v>0</v>
      </c>
      <c r="AD401" s="42">
        <f t="shared" si="150"/>
        <v>0</v>
      </c>
    </row>
    <row r="402" spans="1:30" outlineLevel="1">
      <c r="A402" s="45" t="str">
        <f>A394</f>
        <v>3. Other Capex incl ongoing capex</v>
      </c>
      <c r="B402" s="45" t="s">
        <v>285</v>
      </c>
      <c r="C402" s="42">
        <f>SUM(D402:AD402)</f>
        <v>660.6</v>
      </c>
      <c r="D402" s="70">
        <f>SUM(D396:D401)</f>
        <v>75</v>
      </c>
      <c r="E402" s="70">
        <f t="shared" ref="E402:AD402" si="151">SUM(E396:E401)</f>
        <v>120</v>
      </c>
      <c r="F402" s="70">
        <f t="shared" si="151"/>
        <v>57.84</v>
      </c>
      <c r="G402" s="70">
        <f t="shared" si="151"/>
        <v>24.84</v>
      </c>
      <c r="H402" s="70">
        <f t="shared" si="151"/>
        <v>24.84</v>
      </c>
      <c r="I402" s="70">
        <f t="shared" si="151"/>
        <v>49.84</v>
      </c>
      <c r="J402" s="70">
        <f t="shared" si="151"/>
        <v>24.84</v>
      </c>
      <c r="K402" s="70">
        <f t="shared" si="151"/>
        <v>24.84</v>
      </c>
      <c r="L402" s="70">
        <f t="shared" si="151"/>
        <v>24.84</v>
      </c>
      <c r="M402" s="70">
        <f t="shared" si="151"/>
        <v>44.84</v>
      </c>
      <c r="N402" s="70">
        <f t="shared" si="151"/>
        <v>24.84</v>
      </c>
      <c r="O402" s="70">
        <f t="shared" si="151"/>
        <v>24.84</v>
      </c>
      <c r="P402" s="70">
        <f t="shared" si="151"/>
        <v>24.84</v>
      </c>
      <c r="Q402" s="70">
        <f t="shared" si="151"/>
        <v>39.840000000000003</v>
      </c>
      <c r="R402" s="70">
        <f t="shared" si="151"/>
        <v>24.84</v>
      </c>
      <c r="S402" s="70">
        <f t="shared" si="151"/>
        <v>24.84</v>
      </c>
      <c r="T402" s="70">
        <f t="shared" si="151"/>
        <v>24.84</v>
      </c>
      <c r="U402" s="70">
        <f t="shared" si="151"/>
        <v>0</v>
      </c>
      <c r="V402" s="70">
        <f t="shared" si="151"/>
        <v>0</v>
      </c>
      <c r="W402" s="70">
        <f t="shared" si="151"/>
        <v>0</v>
      </c>
      <c r="X402" s="70">
        <f t="shared" si="151"/>
        <v>0</v>
      </c>
      <c r="Y402" s="70">
        <f t="shared" si="151"/>
        <v>0</v>
      </c>
      <c r="Z402" s="70">
        <f t="shared" si="151"/>
        <v>0</v>
      </c>
      <c r="AA402" s="70">
        <f t="shared" si="151"/>
        <v>0</v>
      </c>
      <c r="AB402" s="70">
        <f t="shared" si="151"/>
        <v>0</v>
      </c>
      <c r="AC402" s="70">
        <f t="shared" si="151"/>
        <v>0</v>
      </c>
      <c r="AD402" s="70">
        <f t="shared" si="151"/>
        <v>0</v>
      </c>
    </row>
    <row r="403" spans="1:30" outlineLevel="1">
      <c r="A403" s="45"/>
      <c r="B403" s="45"/>
      <c r="C403" s="42"/>
      <c r="D403" s="42"/>
      <c r="E403" s="42"/>
      <c r="F403" s="42"/>
      <c r="G403" s="42"/>
      <c r="H403" s="42"/>
      <c r="I403" s="42"/>
      <c r="J403" s="42"/>
      <c r="K403" s="42"/>
      <c r="L403" s="42"/>
      <c r="M403" s="42"/>
      <c r="N403" s="42"/>
      <c r="O403" s="42"/>
      <c r="P403" s="42"/>
      <c r="Q403" s="42"/>
      <c r="R403" s="42"/>
      <c r="S403" s="42"/>
      <c r="T403" s="42"/>
      <c r="U403" s="42"/>
      <c r="V403" s="42"/>
      <c r="W403" s="42"/>
      <c r="X403" s="42"/>
      <c r="Y403" s="42"/>
      <c r="Z403" s="42"/>
      <c r="AA403" s="42"/>
      <c r="AB403" s="42"/>
      <c r="AC403" s="42"/>
      <c r="AD403" s="42"/>
    </row>
    <row r="404" spans="1:30" s="104" customFormat="1" outlineLevel="1">
      <c r="A404" s="104" t="str">
        <f>A402</f>
        <v>3. Other Capex incl ongoing capex</v>
      </c>
      <c r="B404" s="104" t="s">
        <v>290</v>
      </c>
      <c r="C404" s="105">
        <f>SUM(D404:AD404)</f>
        <v>757.02274763297828</v>
      </c>
      <c r="D404" s="105">
        <f>D402*D$373</f>
        <v>75.746287037715589</v>
      </c>
      <c r="E404" s="105">
        <f t="shared" ref="E404:AD404" si="152">E402*E$373</f>
        <v>123.61794044555184</v>
      </c>
      <c r="F404" s="105">
        <f t="shared" si="152"/>
        <v>60.775524240651109</v>
      </c>
      <c r="G404" s="105">
        <f t="shared" si="152"/>
        <v>26.622705784587289</v>
      </c>
      <c r="H404" s="105">
        <f t="shared" si="152"/>
        <v>27.155159900279038</v>
      </c>
      <c r="I404" s="105">
        <f t="shared" si="152"/>
        <v>55.574936908957547</v>
      </c>
      <c r="J404" s="105">
        <f t="shared" si="152"/>
        <v>28.25222836025031</v>
      </c>
      <c r="K404" s="105">
        <f t="shared" si="152"/>
        <v>28.817272927455317</v>
      </c>
      <c r="L404" s="105">
        <f t="shared" si="152"/>
        <v>29.393618386004423</v>
      </c>
      <c r="M404" s="105">
        <f t="shared" si="152"/>
        <v>54.121177350926217</v>
      </c>
      <c r="N404" s="105">
        <f t="shared" si="152"/>
        <v>30.581120568799001</v>
      </c>
      <c r="O404" s="105">
        <f t="shared" si="152"/>
        <v>31.192742980174984</v>
      </c>
      <c r="P404" s="105">
        <f t="shared" si="152"/>
        <v>31.816597839778485</v>
      </c>
      <c r="Q404" s="105">
        <f t="shared" si="152"/>
        <v>52.050109625423119</v>
      </c>
      <c r="R404" s="105">
        <f t="shared" si="152"/>
        <v>33.101988392505532</v>
      </c>
      <c r="S404" s="105">
        <f t="shared" si="152"/>
        <v>33.764028160355643</v>
      </c>
      <c r="T404" s="105">
        <f t="shared" si="152"/>
        <v>34.43930872356276</v>
      </c>
      <c r="U404" s="105">
        <f t="shared" si="152"/>
        <v>0</v>
      </c>
      <c r="V404" s="105">
        <f t="shared" si="152"/>
        <v>0</v>
      </c>
      <c r="W404" s="105">
        <f t="shared" si="152"/>
        <v>0</v>
      </c>
      <c r="X404" s="105">
        <f t="shared" si="152"/>
        <v>0</v>
      </c>
      <c r="Y404" s="105">
        <f t="shared" si="152"/>
        <v>0</v>
      </c>
      <c r="Z404" s="105">
        <f t="shared" si="152"/>
        <v>0</v>
      </c>
      <c r="AA404" s="105">
        <f t="shared" si="152"/>
        <v>0</v>
      </c>
      <c r="AB404" s="105">
        <f t="shared" si="152"/>
        <v>0</v>
      </c>
      <c r="AC404" s="105">
        <f t="shared" si="152"/>
        <v>0</v>
      </c>
      <c r="AD404" s="105">
        <f t="shared" si="152"/>
        <v>0</v>
      </c>
    </row>
    <row r="405" spans="1:30" ht="14.5" outlineLevel="1">
      <c r="A405" s="276" t="s">
        <v>13</v>
      </c>
      <c r="B405" s="276" t="s">
        <v>27</v>
      </c>
      <c r="C405" s="275">
        <f>9%*2</f>
        <v>0.18</v>
      </c>
      <c r="D405" s="15"/>
      <c r="E405" s="15"/>
      <c r="F405" s="15"/>
      <c r="G405" s="15"/>
      <c r="H405" s="15"/>
      <c r="I405" s="15"/>
      <c r="J405" s="15"/>
      <c r="K405" s="15"/>
      <c r="L405" s="15"/>
      <c r="M405" s="15"/>
      <c r="N405" s="15"/>
      <c r="O405" s="15"/>
      <c r="P405" s="15"/>
      <c r="Q405" s="15"/>
      <c r="R405" s="15"/>
      <c r="S405" s="15"/>
      <c r="T405" s="15"/>
      <c r="U405" s="15"/>
      <c r="V405" s="15"/>
      <c r="W405" s="15"/>
      <c r="X405" s="15"/>
      <c r="Y405" s="15"/>
      <c r="Z405" s="15"/>
      <c r="AA405" s="15"/>
      <c r="AB405" s="15"/>
      <c r="AC405" s="15"/>
      <c r="AD405" s="15"/>
    </row>
    <row r="406" spans="1:30" ht="13.5" outlineLevel="1" thickBot="1">
      <c r="A406" s="134" t="s">
        <v>556</v>
      </c>
      <c r="D406" s="15"/>
      <c r="E406" s="15"/>
      <c r="F406" s="15"/>
      <c r="G406" s="15"/>
      <c r="H406" s="15"/>
      <c r="I406" s="15"/>
      <c r="J406" s="15"/>
      <c r="K406" s="15"/>
      <c r="L406" s="15"/>
      <c r="M406" s="15"/>
      <c r="N406" s="15"/>
      <c r="O406" s="15"/>
      <c r="P406" s="15"/>
      <c r="Q406" s="15"/>
      <c r="R406" s="15"/>
      <c r="S406" s="15"/>
      <c r="T406" s="15"/>
      <c r="U406" s="15"/>
      <c r="V406" s="15"/>
      <c r="W406" s="15"/>
      <c r="X406" s="15"/>
      <c r="Y406" s="15"/>
      <c r="Z406" s="15"/>
      <c r="AA406" s="15"/>
      <c r="AB406" s="15"/>
      <c r="AC406" s="15"/>
      <c r="AD406" s="15"/>
    </row>
    <row r="407" spans="1:30" s="104" customFormat="1" ht="15" outlineLevel="1" thickBot="1">
      <c r="A407" s="104" t="s">
        <v>445</v>
      </c>
      <c r="B407" s="104" t="s">
        <v>290</v>
      </c>
      <c r="C407" s="105"/>
      <c r="D407" s="277">
        <v>13</v>
      </c>
      <c r="E407" s="105">
        <f t="shared" ref="E407" si="153">D409-D410</f>
        <v>88.746287037715589</v>
      </c>
      <c r="F407" s="105">
        <f>E409-E410</f>
        <v>212.36422748326743</v>
      </c>
      <c r="G407" s="105">
        <f t="shared" ref="G407:AD407" si="154">F409-F410</f>
        <v>223.9745964136132</v>
      </c>
      <c r="H407" s="105">
        <f t="shared" si="154"/>
        <v>205.4897878025244</v>
      </c>
      <c r="I407" s="105">
        <f t="shared" si="154"/>
        <v>190.76885711629882</v>
      </c>
      <c r="J407" s="105">
        <f t="shared" si="154"/>
        <v>202.00191110071023</v>
      </c>
      <c r="K407" s="105">
        <f t="shared" si="154"/>
        <v>188.80839435798765</v>
      </c>
      <c r="L407" s="105">
        <f t="shared" si="154"/>
        <v>178.45304717406324</v>
      </c>
      <c r="M407" s="105">
        <f t="shared" si="154"/>
        <v>170.43426575925548</v>
      </c>
      <c r="N407" s="105">
        <f t="shared" si="154"/>
        <v>184.135463350349</v>
      </c>
      <c r="O407" s="105">
        <f t="shared" si="154"/>
        <v>176.06759881370135</v>
      </c>
      <c r="P407" s="105">
        <f t="shared" si="154"/>
        <v>169.95348027097859</v>
      </c>
      <c r="Q407" s="105">
        <f t="shared" si="154"/>
        <v>165.45146405082082</v>
      </c>
      <c r="R407" s="105">
        <f t="shared" si="154"/>
        <v>178.35129041452004</v>
      </c>
      <c r="S407" s="105">
        <f t="shared" si="154"/>
        <v>173.39168862176098</v>
      </c>
      <c r="T407" s="105">
        <f t="shared" si="154"/>
        <v>169.86768776133565</v>
      </c>
      <c r="U407" s="105">
        <f t="shared" si="154"/>
        <v>167.5317371176167</v>
      </c>
      <c r="V407" s="105">
        <f t="shared" si="154"/>
        <v>167.5317371176167</v>
      </c>
      <c r="W407" s="105">
        <f t="shared" si="154"/>
        <v>167.5317371176167</v>
      </c>
      <c r="X407" s="105">
        <f t="shared" si="154"/>
        <v>167.5317371176167</v>
      </c>
      <c r="Y407" s="105">
        <f t="shared" si="154"/>
        <v>167.5317371176167</v>
      </c>
      <c r="Z407" s="105">
        <f t="shared" si="154"/>
        <v>167.5317371176167</v>
      </c>
      <c r="AA407" s="105">
        <f t="shared" si="154"/>
        <v>167.5317371176167</v>
      </c>
      <c r="AB407" s="105">
        <f t="shared" si="154"/>
        <v>167.5317371176167</v>
      </c>
      <c r="AC407" s="105">
        <f t="shared" si="154"/>
        <v>167.5317371176167</v>
      </c>
      <c r="AD407" s="105">
        <f t="shared" si="154"/>
        <v>167.5317371176167</v>
      </c>
    </row>
    <row r="408" spans="1:30" s="104" customFormat="1" outlineLevel="1">
      <c r="A408" s="104" t="str">
        <f>A404</f>
        <v>3. Other Capex incl ongoing capex</v>
      </c>
      <c r="B408" s="104" t="str">
        <f>B404</f>
        <v>A$ millions NOMINAL</v>
      </c>
      <c r="C408" s="105">
        <f>SUM(D408:AD408)</f>
        <v>757.02274763297828</v>
      </c>
      <c r="D408" s="105">
        <f t="shared" ref="D408:AD408" si="155">D404</f>
        <v>75.746287037715589</v>
      </c>
      <c r="E408" s="105">
        <f t="shared" si="155"/>
        <v>123.61794044555184</v>
      </c>
      <c r="F408" s="105">
        <f t="shared" si="155"/>
        <v>60.775524240651109</v>
      </c>
      <c r="G408" s="105">
        <f t="shared" si="155"/>
        <v>26.622705784587289</v>
      </c>
      <c r="H408" s="105">
        <f t="shared" si="155"/>
        <v>27.155159900279038</v>
      </c>
      <c r="I408" s="105">
        <f t="shared" si="155"/>
        <v>55.574936908957547</v>
      </c>
      <c r="J408" s="105">
        <f t="shared" si="155"/>
        <v>28.25222836025031</v>
      </c>
      <c r="K408" s="105">
        <f t="shared" si="155"/>
        <v>28.817272927455317</v>
      </c>
      <c r="L408" s="105">
        <f t="shared" si="155"/>
        <v>29.393618386004423</v>
      </c>
      <c r="M408" s="105">
        <f t="shared" si="155"/>
        <v>54.121177350926217</v>
      </c>
      <c r="N408" s="105">
        <f t="shared" si="155"/>
        <v>30.581120568799001</v>
      </c>
      <c r="O408" s="105">
        <f t="shared" si="155"/>
        <v>31.192742980174984</v>
      </c>
      <c r="P408" s="105">
        <f t="shared" si="155"/>
        <v>31.816597839778485</v>
      </c>
      <c r="Q408" s="105">
        <f t="shared" si="155"/>
        <v>52.050109625423119</v>
      </c>
      <c r="R408" s="105">
        <f t="shared" si="155"/>
        <v>33.101988392505532</v>
      </c>
      <c r="S408" s="105">
        <f t="shared" si="155"/>
        <v>33.764028160355643</v>
      </c>
      <c r="T408" s="105">
        <f t="shared" si="155"/>
        <v>34.43930872356276</v>
      </c>
      <c r="U408" s="105">
        <f t="shared" si="155"/>
        <v>0</v>
      </c>
      <c r="V408" s="105">
        <f t="shared" si="155"/>
        <v>0</v>
      </c>
      <c r="W408" s="105">
        <f t="shared" si="155"/>
        <v>0</v>
      </c>
      <c r="X408" s="105">
        <f t="shared" si="155"/>
        <v>0</v>
      </c>
      <c r="Y408" s="105">
        <f t="shared" si="155"/>
        <v>0</v>
      </c>
      <c r="Z408" s="105">
        <f t="shared" si="155"/>
        <v>0</v>
      </c>
      <c r="AA408" s="105">
        <f t="shared" si="155"/>
        <v>0</v>
      </c>
      <c r="AB408" s="105">
        <f t="shared" si="155"/>
        <v>0</v>
      </c>
      <c r="AC408" s="105">
        <f t="shared" si="155"/>
        <v>0</v>
      </c>
      <c r="AD408" s="105">
        <f t="shared" si="155"/>
        <v>0</v>
      </c>
    </row>
    <row r="409" spans="1:30" s="104" customFormat="1" outlineLevel="1">
      <c r="A409" s="104" t="s">
        <v>168</v>
      </c>
      <c r="B409" s="104" t="s">
        <v>290</v>
      </c>
      <c r="C409" s="105"/>
      <c r="D409" s="106">
        <f t="shared" ref="D409:AD409" si="156">D407+D408</f>
        <v>88.746287037715589</v>
      </c>
      <c r="E409" s="106">
        <f t="shared" si="156"/>
        <v>212.36422748326743</v>
      </c>
      <c r="F409" s="106">
        <f t="shared" si="156"/>
        <v>273.13975172391855</v>
      </c>
      <c r="G409" s="106">
        <f t="shared" si="156"/>
        <v>250.59730219820048</v>
      </c>
      <c r="H409" s="106">
        <f t="shared" si="156"/>
        <v>232.64494770280345</v>
      </c>
      <c r="I409" s="106">
        <f t="shared" si="156"/>
        <v>246.34379402525636</v>
      </c>
      <c r="J409" s="106">
        <f t="shared" si="156"/>
        <v>230.25413946096054</v>
      </c>
      <c r="K409" s="106">
        <f t="shared" si="156"/>
        <v>217.62566728544297</v>
      </c>
      <c r="L409" s="106">
        <f t="shared" si="156"/>
        <v>207.84666556006766</v>
      </c>
      <c r="M409" s="106">
        <f t="shared" si="156"/>
        <v>224.5554431101817</v>
      </c>
      <c r="N409" s="106">
        <f t="shared" si="156"/>
        <v>214.71658391914801</v>
      </c>
      <c r="O409" s="106">
        <f t="shared" si="156"/>
        <v>207.26034179387634</v>
      </c>
      <c r="P409" s="106">
        <f t="shared" si="156"/>
        <v>201.77007811075708</v>
      </c>
      <c r="Q409" s="106">
        <f t="shared" si="156"/>
        <v>217.50157367624394</v>
      </c>
      <c r="R409" s="106">
        <f t="shared" si="156"/>
        <v>211.45327880702558</v>
      </c>
      <c r="S409" s="106">
        <f t="shared" si="156"/>
        <v>207.15571678211663</v>
      </c>
      <c r="T409" s="106">
        <f t="shared" si="156"/>
        <v>204.30699648489841</v>
      </c>
      <c r="U409" s="106">
        <f t="shared" si="156"/>
        <v>167.5317371176167</v>
      </c>
      <c r="V409" s="106">
        <f t="shared" si="156"/>
        <v>167.5317371176167</v>
      </c>
      <c r="W409" s="106">
        <f t="shared" si="156"/>
        <v>167.5317371176167</v>
      </c>
      <c r="X409" s="106">
        <f t="shared" si="156"/>
        <v>167.5317371176167</v>
      </c>
      <c r="Y409" s="106">
        <f t="shared" si="156"/>
        <v>167.5317371176167</v>
      </c>
      <c r="Z409" s="106">
        <f t="shared" si="156"/>
        <v>167.5317371176167</v>
      </c>
      <c r="AA409" s="106">
        <f t="shared" si="156"/>
        <v>167.5317371176167</v>
      </c>
      <c r="AB409" s="106">
        <f t="shared" si="156"/>
        <v>167.5317371176167</v>
      </c>
      <c r="AC409" s="106">
        <f t="shared" si="156"/>
        <v>167.5317371176167</v>
      </c>
      <c r="AD409" s="106">
        <f t="shared" si="156"/>
        <v>167.5317371176167</v>
      </c>
    </row>
    <row r="410" spans="1:30" s="104" customFormat="1" ht="12.65" customHeight="1" outlineLevel="1">
      <c r="A410" s="104" t="s">
        <v>450</v>
      </c>
      <c r="B410" s="104" t="s">
        <v>290</v>
      </c>
      <c r="C410" s="105">
        <f>SUM(D410:AD410)</f>
        <v>602.49101051536161</v>
      </c>
      <c r="D410" s="105">
        <f t="shared" ref="D410:AD410" si="157">IF(D154=0,0,D409*$C405)</f>
        <v>0</v>
      </c>
      <c r="E410" s="105">
        <f t="shared" si="157"/>
        <v>0</v>
      </c>
      <c r="F410" s="105">
        <f t="shared" si="157"/>
        <v>49.165155310305337</v>
      </c>
      <c r="G410" s="105">
        <f t="shared" si="157"/>
        <v>45.107514395676084</v>
      </c>
      <c r="H410" s="105">
        <f t="shared" si="157"/>
        <v>41.876090586504617</v>
      </c>
      <c r="I410" s="105">
        <f t="shared" si="157"/>
        <v>44.341882924546141</v>
      </c>
      <c r="J410" s="105">
        <f t="shared" si="157"/>
        <v>41.4457451029729</v>
      </c>
      <c r="K410" s="105">
        <f t="shared" si="157"/>
        <v>39.172620111379736</v>
      </c>
      <c r="L410" s="105">
        <f t="shared" si="157"/>
        <v>37.412399800812175</v>
      </c>
      <c r="M410" s="105">
        <f t="shared" si="157"/>
        <v>40.419979759832707</v>
      </c>
      <c r="N410" s="105">
        <f t="shared" si="157"/>
        <v>38.648985105446641</v>
      </c>
      <c r="O410" s="105">
        <f t="shared" si="157"/>
        <v>37.306861522897741</v>
      </c>
      <c r="P410" s="105">
        <f t="shared" si="157"/>
        <v>36.318614059936273</v>
      </c>
      <c r="Q410" s="105">
        <f t="shared" si="157"/>
        <v>39.150283261723906</v>
      </c>
      <c r="R410" s="105">
        <f t="shared" si="157"/>
        <v>38.061590185264606</v>
      </c>
      <c r="S410" s="105">
        <f t="shared" si="157"/>
        <v>37.288029020780989</v>
      </c>
      <c r="T410" s="105">
        <f t="shared" si="157"/>
        <v>36.775259367281713</v>
      </c>
      <c r="U410" s="105">
        <f t="shared" si="157"/>
        <v>0</v>
      </c>
      <c r="V410" s="105">
        <f t="shared" si="157"/>
        <v>0</v>
      </c>
      <c r="W410" s="105">
        <f t="shared" si="157"/>
        <v>0</v>
      </c>
      <c r="X410" s="105">
        <f t="shared" si="157"/>
        <v>0</v>
      </c>
      <c r="Y410" s="105">
        <f t="shared" si="157"/>
        <v>0</v>
      </c>
      <c r="Z410" s="105">
        <f t="shared" si="157"/>
        <v>0</v>
      </c>
      <c r="AA410" s="105">
        <f t="shared" si="157"/>
        <v>0</v>
      </c>
      <c r="AB410" s="105">
        <f t="shared" si="157"/>
        <v>0</v>
      </c>
      <c r="AC410" s="105">
        <f t="shared" si="157"/>
        <v>0</v>
      </c>
      <c r="AD410" s="105">
        <f t="shared" si="157"/>
        <v>0</v>
      </c>
    </row>
    <row r="411" spans="1:30" s="104" customFormat="1" ht="12.65" customHeight="1" outlineLevel="1">
      <c r="A411" s="104" t="s">
        <v>449</v>
      </c>
      <c r="B411" s="104" t="s">
        <v>290</v>
      </c>
      <c r="C411" s="105">
        <f>SUM(D411:AD411)</f>
        <v>770.02274763297828</v>
      </c>
      <c r="D411" s="105">
        <f t="shared" ref="D411:AD411" si="158">IF(AND(D154&gt;0,E154=0),D409,D410)</f>
        <v>0</v>
      </c>
      <c r="E411" s="105">
        <f t="shared" si="158"/>
        <v>0</v>
      </c>
      <c r="F411" s="105">
        <f t="shared" si="158"/>
        <v>49.165155310305337</v>
      </c>
      <c r="G411" s="105">
        <f t="shared" si="158"/>
        <v>45.107514395676084</v>
      </c>
      <c r="H411" s="105">
        <f t="shared" si="158"/>
        <v>41.876090586504617</v>
      </c>
      <c r="I411" s="105">
        <f t="shared" si="158"/>
        <v>44.341882924546141</v>
      </c>
      <c r="J411" s="105">
        <f t="shared" si="158"/>
        <v>41.4457451029729</v>
      </c>
      <c r="K411" s="105">
        <f t="shared" si="158"/>
        <v>39.172620111379736</v>
      </c>
      <c r="L411" s="105">
        <f t="shared" si="158"/>
        <v>37.412399800812175</v>
      </c>
      <c r="M411" s="105">
        <f t="shared" si="158"/>
        <v>40.419979759832707</v>
      </c>
      <c r="N411" s="105">
        <f t="shared" si="158"/>
        <v>38.648985105446641</v>
      </c>
      <c r="O411" s="105">
        <f t="shared" si="158"/>
        <v>37.306861522897741</v>
      </c>
      <c r="P411" s="105">
        <f t="shared" si="158"/>
        <v>36.318614059936273</v>
      </c>
      <c r="Q411" s="105">
        <f t="shared" si="158"/>
        <v>39.150283261723906</v>
      </c>
      <c r="R411" s="105">
        <f t="shared" si="158"/>
        <v>38.061590185264606</v>
      </c>
      <c r="S411" s="105">
        <f t="shared" si="158"/>
        <v>37.288029020780989</v>
      </c>
      <c r="T411" s="105">
        <f t="shared" si="158"/>
        <v>204.30699648489841</v>
      </c>
      <c r="U411" s="105">
        <f t="shared" si="158"/>
        <v>0</v>
      </c>
      <c r="V411" s="105">
        <f t="shared" si="158"/>
        <v>0</v>
      </c>
      <c r="W411" s="105">
        <f t="shared" si="158"/>
        <v>0</v>
      </c>
      <c r="X411" s="105">
        <f t="shared" si="158"/>
        <v>0</v>
      </c>
      <c r="Y411" s="105">
        <f t="shared" si="158"/>
        <v>0</v>
      </c>
      <c r="Z411" s="105">
        <f t="shared" si="158"/>
        <v>0</v>
      </c>
      <c r="AA411" s="105">
        <f t="shared" si="158"/>
        <v>0</v>
      </c>
      <c r="AB411" s="105">
        <f t="shared" si="158"/>
        <v>0</v>
      </c>
      <c r="AC411" s="105">
        <f t="shared" si="158"/>
        <v>0</v>
      </c>
      <c r="AD411" s="105">
        <f t="shared" si="158"/>
        <v>0</v>
      </c>
    </row>
    <row r="412" spans="1:30" outlineLevel="1">
      <c r="A412" s="143" t="s">
        <v>444</v>
      </c>
      <c r="C412" s="42" t="str">
        <f>IF(C404+D407=C411,"OK","CHECK!")</f>
        <v>OK</v>
      </c>
      <c r="D412" s="42"/>
      <c r="E412" s="42"/>
      <c r="F412" s="42"/>
      <c r="G412" s="42"/>
      <c r="H412" s="42"/>
      <c r="I412" s="42"/>
      <c r="J412" s="42"/>
      <c r="K412" s="42"/>
      <c r="L412" s="42"/>
      <c r="M412" s="42"/>
      <c r="N412" s="42"/>
      <c r="O412" s="42"/>
      <c r="P412" s="42"/>
      <c r="Q412" s="42"/>
      <c r="R412" s="42"/>
      <c r="S412" s="42"/>
      <c r="T412" s="42"/>
      <c r="U412" s="42"/>
      <c r="V412" s="42"/>
      <c r="W412" s="42"/>
      <c r="X412" s="42"/>
      <c r="Y412" s="42"/>
      <c r="Z412" s="42"/>
      <c r="AA412" s="42"/>
      <c r="AB412" s="42"/>
      <c r="AC412" s="42"/>
      <c r="AD412" s="42"/>
    </row>
    <row r="413" spans="1:30" outlineLevel="1">
      <c r="A413" s="49" t="s">
        <v>469</v>
      </c>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c r="AA413" s="42"/>
      <c r="AB413" s="42"/>
      <c r="AC413" s="42"/>
      <c r="AD413" s="42"/>
    </row>
    <row r="414" spans="1:30" s="104" customFormat="1" ht="12.65" customHeight="1" outlineLevel="1">
      <c r="A414" s="104" t="s">
        <v>583</v>
      </c>
      <c r="B414" s="104" t="s">
        <v>290</v>
      </c>
      <c r="C414" s="105">
        <f>SUM(D414:AD414)</f>
        <v>1387.8927276863874</v>
      </c>
      <c r="D414" s="105">
        <f t="shared" ref="D414:AD414" si="159">D378+D392+D411</f>
        <v>10.099504938362077</v>
      </c>
      <c r="E414" s="105">
        <f t="shared" si="159"/>
        <v>30.90448511138796</v>
      </c>
      <c r="F414" s="105">
        <f t="shared" si="159"/>
        <v>256.83691171162269</v>
      </c>
      <c r="G414" s="105">
        <f t="shared" si="159"/>
        <v>178.0174384925192</v>
      </c>
      <c r="H414" s="105">
        <f t="shared" si="159"/>
        <v>126.93844200848422</v>
      </c>
      <c r="I414" s="105">
        <f t="shared" si="159"/>
        <v>98.781787834613084</v>
      </c>
      <c r="J414" s="105">
        <f t="shared" si="159"/>
        <v>76.287284245415748</v>
      </c>
      <c r="K414" s="105">
        <f t="shared" si="159"/>
        <v>61.471205162543157</v>
      </c>
      <c r="L414" s="105">
        <f t="shared" si="159"/>
        <v>51.683494233556765</v>
      </c>
      <c r="M414" s="105">
        <f t="shared" si="159"/>
        <v>49.553480196789245</v>
      </c>
      <c r="N414" s="105">
        <f t="shared" si="159"/>
        <v>44.494425385098822</v>
      </c>
      <c r="O414" s="105">
        <f t="shared" si="159"/>
        <v>41.047943301875137</v>
      </c>
      <c r="P414" s="105">
        <f t="shared" si="159"/>
        <v>38.712906398481806</v>
      </c>
      <c r="Q414" s="105">
        <f t="shared" si="159"/>
        <v>40.682630358393048</v>
      </c>
      <c r="R414" s="105">
        <f t="shared" si="159"/>
        <v>39.042292327132856</v>
      </c>
      <c r="S414" s="105">
        <f t="shared" si="159"/>
        <v>37.91567839157667</v>
      </c>
      <c r="T414" s="105">
        <f t="shared" si="159"/>
        <v>205.42281758853517</v>
      </c>
      <c r="U414" s="105">
        <f t="shared" si="159"/>
        <v>0</v>
      </c>
      <c r="V414" s="105">
        <f t="shared" si="159"/>
        <v>0</v>
      </c>
      <c r="W414" s="105">
        <f t="shared" si="159"/>
        <v>0</v>
      </c>
      <c r="X414" s="105">
        <f t="shared" si="159"/>
        <v>0</v>
      </c>
      <c r="Y414" s="105">
        <f t="shared" si="159"/>
        <v>0</v>
      </c>
      <c r="Z414" s="105">
        <f t="shared" si="159"/>
        <v>0</v>
      </c>
      <c r="AA414" s="105">
        <f t="shared" si="159"/>
        <v>0</v>
      </c>
      <c r="AB414" s="105">
        <f t="shared" si="159"/>
        <v>0</v>
      </c>
      <c r="AC414" s="105">
        <f t="shared" si="159"/>
        <v>0</v>
      </c>
      <c r="AD414" s="105">
        <f t="shared" si="159"/>
        <v>0</v>
      </c>
    </row>
    <row r="415" spans="1:30" outlineLevel="1">
      <c r="A415" s="50" t="s">
        <v>468</v>
      </c>
      <c r="C415" s="42"/>
      <c r="D415" s="42"/>
      <c r="E415" s="42"/>
      <c r="F415" s="42"/>
      <c r="G415" s="42"/>
      <c r="H415" s="42"/>
      <c r="I415" s="42"/>
      <c r="J415" s="42"/>
      <c r="K415" s="42"/>
      <c r="L415" s="42"/>
      <c r="M415" s="42"/>
      <c r="N415" s="42"/>
      <c r="O415" s="42"/>
      <c r="P415" s="42"/>
      <c r="Q415" s="42"/>
      <c r="R415" s="42"/>
      <c r="S415" s="42"/>
      <c r="T415" s="42"/>
      <c r="U415" s="42"/>
      <c r="V415" s="42"/>
      <c r="W415" s="42"/>
      <c r="X415" s="42"/>
      <c r="Y415" s="42"/>
      <c r="Z415" s="42"/>
      <c r="AA415" s="42"/>
      <c r="AB415" s="42"/>
      <c r="AC415" s="42"/>
      <c r="AD415" s="42"/>
    </row>
    <row r="416" spans="1:30" s="14" customFormat="1" ht="15.5" outlineLevel="1">
      <c r="A416" s="281" t="s">
        <v>584</v>
      </c>
      <c r="B416" s="13" t="s">
        <v>292</v>
      </c>
      <c r="C416" s="280">
        <f>SUM(D416:AD416)</f>
        <v>1195.5755053136118</v>
      </c>
      <c r="D416" s="279">
        <f t="shared" ref="D416:AD416" si="160">D414/D373</f>
        <v>10</v>
      </c>
      <c r="E416" s="279">
        <f t="shared" si="160"/>
        <v>30</v>
      </c>
      <c r="F416" s="279">
        <f t="shared" si="160"/>
        <v>244.43140818625551</v>
      </c>
      <c r="G416" s="279">
        <f t="shared" si="160"/>
        <v>166.0970604540949</v>
      </c>
      <c r="H416" s="279">
        <f t="shared" si="160"/>
        <v>116.11608663215226</v>
      </c>
      <c r="I416" s="279">
        <f t="shared" si="160"/>
        <v>88.588212232114714</v>
      </c>
      <c r="J416" s="279">
        <f t="shared" si="160"/>
        <v>67.073510680038197</v>
      </c>
      <c r="K416" s="279">
        <f t="shared" si="160"/>
        <v>52.987135183870691</v>
      </c>
      <c r="L416" s="279">
        <f t="shared" si="160"/>
        <v>43.676759353072079</v>
      </c>
      <c r="M416" s="279">
        <f t="shared" si="160"/>
        <v>41.055611883986543</v>
      </c>
      <c r="N416" s="279">
        <f t="shared" si="160"/>
        <v>36.141302411707549</v>
      </c>
      <c r="O416" s="279">
        <f t="shared" si="160"/>
        <v>32.688081079199101</v>
      </c>
      <c r="P416" s="279">
        <f t="shared" si="160"/>
        <v>30.224117606189136</v>
      </c>
      <c r="Q416" s="279">
        <f t="shared" si="160"/>
        <v>31.139146586671643</v>
      </c>
      <c r="R416" s="279">
        <f t="shared" si="160"/>
        <v>29.297652150272352</v>
      </c>
      <c r="S416" s="279">
        <f t="shared" si="160"/>
        <v>27.89434503412178</v>
      </c>
      <c r="T416" s="279">
        <f t="shared" si="160"/>
        <v>148.16507583986538</v>
      </c>
      <c r="U416" s="279">
        <f t="shared" si="160"/>
        <v>0</v>
      </c>
      <c r="V416" s="279">
        <f t="shared" si="160"/>
        <v>0</v>
      </c>
      <c r="W416" s="279">
        <f t="shared" si="160"/>
        <v>0</v>
      </c>
      <c r="X416" s="279">
        <f t="shared" si="160"/>
        <v>0</v>
      </c>
      <c r="Y416" s="279">
        <f t="shared" si="160"/>
        <v>0</v>
      </c>
      <c r="Z416" s="279">
        <f t="shared" si="160"/>
        <v>0</v>
      </c>
      <c r="AA416" s="279">
        <f t="shared" si="160"/>
        <v>0</v>
      </c>
      <c r="AB416" s="279">
        <f t="shared" si="160"/>
        <v>0</v>
      </c>
      <c r="AC416" s="279">
        <f t="shared" si="160"/>
        <v>0</v>
      </c>
      <c r="AD416" s="279">
        <f t="shared" si="160"/>
        <v>0</v>
      </c>
    </row>
    <row r="417" spans="1:30" s="14" customFormat="1" outlineLevel="1">
      <c r="B417" s="13"/>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c r="AA417" s="44"/>
      <c r="AB417" s="44"/>
      <c r="AC417" s="44"/>
      <c r="AD417" s="44"/>
    </row>
    <row r="418" spans="1:30" s="104" customFormat="1" ht="12.65" customHeight="1" outlineLevel="1">
      <c r="A418" s="49" t="s">
        <v>470</v>
      </c>
      <c r="C418" s="105"/>
      <c r="D418" s="105"/>
      <c r="E418" s="105"/>
      <c r="F418" s="105"/>
      <c r="G418" s="105"/>
      <c r="H418" s="105"/>
      <c r="I418" s="105"/>
      <c r="J418" s="105"/>
      <c r="K418" s="105"/>
      <c r="L418" s="105"/>
      <c r="M418" s="105"/>
      <c r="N418" s="105"/>
      <c r="O418" s="105"/>
      <c r="P418" s="105"/>
      <c r="Q418" s="105"/>
      <c r="R418" s="105"/>
      <c r="S418" s="105"/>
      <c r="T418" s="105"/>
      <c r="U418" s="105"/>
      <c r="V418" s="105"/>
      <c r="W418" s="105"/>
      <c r="X418" s="105"/>
      <c r="Y418" s="105"/>
      <c r="Z418" s="105"/>
      <c r="AA418" s="105"/>
      <c r="AB418" s="105"/>
      <c r="AC418" s="105"/>
      <c r="AD418" s="105"/>
    </row>
    <row r="419" spans="1:30" outlineLevel="1">
      <c r="A419" s="13" t="s">
        <v>461</v>
      </c>
      <c r="B419" s="13" t="str">
        <f>B356</f>
        <v>A$ million Real</v>
      </c>
      <c r="C419" s="42">
        <f>SUM(D419:AD419)</f>
        <v>1260.5999999999995</v>
      </c>
      <c r="D419" s="42">
        <f>D376+D384+D402</f>
        <v>265</v>
      </c>
      <c r="E419" s="42">
        <f t="shared" ref="E419:AD419" si="161">E376+E384+E402</f>
        <v>500</v>
      </c>
      <c r="F419" s="42">
        <f t="shared" si="161"/>
        <v>87.84</v>
      </c>
      <c r="G419" s="42">
        <f t="shared" si="161"/>
        <v>24.84</v>
      </c>
      <c r="H419" s="42">
        <f t="shared" si="161"/>
        <v>24.84</v>
      </c>
      <c r="I419" s="42">
        <f t="shared" si="161"/>
        <v>49.84</v>
      </c>
      <c r="J419" s="42">
        <f t="shared" si="161"/>
        <v>24.84</v>
      </c>
      <c r="K419" s="42">
        <f t="shared" si="161"/>
        <v>24.84</v>
      </c>
      <c r="L419" s="42">
        <f t="shared" si="161"/>
        <v>24.84</v>
      </c>
      <c r="M419" s="42">
        <f t="shared" si="161"/>
        <v>44.84</v>
      </c>
      <c r="N419" s="42">
        <f t="shared" si="161"/>
        <v>24.84</v>
      </c>
      <c r="O419" s="42">
        <f t="shared" si="161"/>
        <v>24.84</v>
      </c>
      <c r="P419" s="42">
        <f t="shared" si="161"/>
        <v>24.84</v>
      </c>
      <c r="Q419" s="42">
        <f t="shared" si="161"/>
        <v>39.840000000000003</v>
      </c>
      <c r="R419" s="42">
        <f t="shared" si="161"/>
        <v>24.84</v>
      </c>
      <c r="S419" s="42">
        <f t="shared" si="161"/>
        <v>24.84</v>
      </c>
      <c r="T419" s="42">
        <f t="shared" si="161"/>
        <v>24.84</v>
      </c>
      <c r="U419" s="42">
        <f t="shared" si="161"/>
        <v>0</v>
      </c>
      <c r="V419" s="42">
        <f t="shared" si="161"/>
        <v>0</v>
      </c>
      <c r="W419" s="42">
        <f t="shared" si="161"/>
        <v>0</v>
      </c>
      <c r="X419" s="42">
        <f t="shared" si="161"/>
        <v>0</v>
      </c>
      <c r="Y419" s="42">
        <f t="shared" si="161"/>
        <v>0</v>
      </c>
      <c r="Z419" s="42">
        <f t="shared" si="161"/>
        <v>0</v>
      </c>
      <c r="AA419" s="42">
        <f t="shared" si="161"/>
        <v>0</v>
      </c>
      <c r="AB419" s="42">
        <f t="shared" si="161"/>
        <v>0</v>
      </c>
      <c r="AC419" s="42">
        <f t="shared" si="161"/>
        <v>0</v>
      </c>
      <c r="AD419" s="42">
        <f t="shared" si="161"/>
        <v>0</v>
      </c>
    </row>
    <row r="420" spans="1:30" ht="13.5" outlineLevel="1" thickBot="1">
      <c r="A420" s="143" t="s">
        <v>463</v>
      </c>
      <c r="C420" s="44" t="str">
        <f>IF(C356=C419,"OK","CHECK!")</f>
        <v>OK</v>
      </c>
      <c r="D420" s="42"/>
      <c r="E420" s="42"/>
      <c r="F420" s="42"/>
      <c r="G420" s="42"/>
      <c r="H420" s="42"/>
      <c r="I420" s="42"/>
      <c r="J420" s="42"/>
      <c r="K420" s="42"/>
      <c r="L420" s="42"/>
      <c r="M420" s="42"/>
      <c r="N420" s="42"/>
      <c r="O420" s="42"/>
      <c r="P420" s="42"/>
      <c r="Q420" s="42"/>
      <c r="R420" s="42"/>
      <c r="S420" s="42"/>
      <c r="T420" s="42"/>
      <c r="U420" s="42"/>
      <c r="V420" s="42"/>
      <c r="W420" s="42"/>
      <c r="X420" s="42"/>
      <c r="Y420" s="42"/>
      <c r="Z420" s="42"/>
      <c r="AA420" s="42"/>
      <c r="AB420" s="42"/>
      <c r="AC420" s="42"/>
      <c r="AD420" s="42"/>
    </row>
    <row r="421" spans="1:30" ht="13.5" outlineLevel="1" thickBot="1">
      <c r="A421" s="13" t="s">
        <v>462</v>
      </c>
      <c r="B421" s="13" t="s">
        <v>446</v>
      </c>
      <c r="C421" s="42">
        <f t="shared" ref="C421" si="162">C413</f>
        <v>0</v>
      </c>
      <c r="D421" s="166">
        <f>D388+D407</f>
        <v>16</v>
      </c>
      <c r="E421" s="42"/>
      <c r="F421" s="42"/>
      <c r="G421" s="42"/>
      <c r="H421" s="42"/>
      <c r="I421" s="42"/>
      <c r="J421" s="42"/>
      <c r="K421" s="42"/>
      <c r="L421" s="42"/>
      <c r="M421" s="42"/>
      <c r="N421" s="42"/>
      <c r="O421" s="42"/>
      <c r="P421" s="42"/>
      <c r="Q421" s="42"/>
      <c r="R421" s="42"/>
      <c r="S421" s="42"/>
      <c r="T421" s="42"/>
      <c r="U421" s="42"/>
      <c r="V421" s="42"/>
      <c r="W421" s="42"/>
      <c r="X421" s="42"/>
      <c r="Y421" s="42"/>
      <c r="Z421" s="42"/>
      <c r="AA421" s="42"/>
      <c r="AB421" s="42"/>
      <c r="AC421" s="42"/>
      <c r="AD421" s="42"/>
    </row>
    <row r="422" spans="1:30" outlineLevel="1">
      <c r="A422" s="13" t="s">
        <v>460</v>
      </c>
      <c r="B422" s="13" t="s">
        <v>285</v>
      </c>
      <c r="C422" s="42">
        <f>SUM(D422:AD422)</f>
        <v>1276.5999999999995</v>
      </c>
      <c r="D422" s="42">
        <f>D419+D421</f>
        <v>281</v>
      </c>
      <c r="E422" s="70">
        <f t="shared" ref="E422:AD422" si="163">E419+E421</f>
        <v>500</v>
      </c>
      <c r="F422" s="70">
        <f t="shared" si="163"/>
        <v>87.84</v>
      </c>
      <c r="G422" s="70">
        <f t="shared" si="163"/>
        <v>24.84</v>
      </c>
      <c r="H422" s="70">
        <f t="shared" si="163"/>
        <v>24.84</v>
      </c>
      <c r="I422" s="70">
        <f t="shared" si="163"/>
        <v>49.84</v>
      </c>
      <c r="J422" s="70">
        <f t="shared" si="163"/>
        <v>24.84</v>
      </c>
      <c r="K422" s="70">
        <f t="shared" si="163"/>
        <v>24.84</v>
      </c>
      <c r="L422" s="70">
        <f t="shared" si="163"/>
        <v>24.84</v>
      </c>
      <c r="M422" s="70">
        <f t="shared" si="163"/>
        <v>44.84</v>
      </c>
      <c r="N422" s="70">
        <f t="shared" si="163"/>
        <v>24.84</v>
      </c>
      <c r="O422" s="70">
        <f t="shared" si="163"/>
        <v>24.84</v>
      </c>
      <c r="P422" s="70">
        <f t="shared" si="163"/>
        <v>24.84</v>
      </c>
      <c r="Q422" s="70">
        <f t="shared" si="163"/>
        <v>39.840000000000003</v>
      </c>
      <c r="R422" s="70">
        <f t="shared" si="163"/>
        <v>24.84</v>
      </c>
      <c r="S422" s="70">
        <f t="shared" si="163"/>
        <v>24.84</v>
      </c>
      <c r="T422" s="70">
        <f t="shared" si="163"/>
        <v>24.84</v>
      </c>
      <c r="U422" s="70">
        <f t="shared" si="163"/>
        <v>0</v>
      </c>
      <c r="V422" s="70">
        <f t="shared" si="163"/>
        <v>0</v>
      </c>
      <c r="W422" s="70">
        <f t="shared" si="163"/>
        <v>0</v>
      </c>
      <c r="X422" s="70">
        <f t="shared" si="163"/>
        <v>0</v>
      </c>
      <c r="Y422" s="70">
        <f t="shared" si="163"/>
        <v>0</v>
      </c>
      <c r="Z422" s="70">
        <f t="shared" si="163"/>
        <v>0</v>
      </c>
      <c r="AA422" s="70">
        <f t="shared" si="163"/>
        <v>0</v>
      </c>
      <c r="AB422" s="70">
        <f t="shared" si="163"/>
        <v>0</v>
      </c>
      <c r="AC422" s="70">
        <f t="shared" si="163"/>
        <v>0</v>
      </c>
      <c r="AD422" s="70">
        <f t="shared" si="163"/>
        <v>0</v>
      </c>
    </row>
    <row r="423" spans="1:30" s="42" customFormat="1" ht="13.75" customHeight="1" outlineLevel="1">
      <c r="A423" s="75" t="s">
        <v>437</v>
      </c>
      <c r="B423" s="148" t="s">
        <v>292</v>
      </c>
      <c r="C423" s="42">
        <f>C422-C416</f>
        <v>81.024494686387698</v>
      </c>
    </row>
    <row r="424" spans="1:30" outlineLevel="1">
      <c r="A424" s="282" t="s">
        <v>585</v>
      </c>
      <c r="D424" s="15"/>
      <c r="E424" s="15"/>
      <c r="F424" s="15"/>
      <c r="G424" s="15"/>
      <c r="H424" s="15"/>
      <c r="I424" s="15"/>
      <c r="J424" s="15"/>
      <c r="K424" s="15"/>
      <c r="L424" s="15"/>
      <c r="M424" s="15"/>
      <c r="N424" s="15"/>
      <c r="O424" s="15"/>
      <c r="P424" s="15"/>
      <c r="Q424" s="15"/>
      <c r="R424" s="15"/>
      <c r="S424" s="15"/>
      <c r="T424" s="15"/>
      <c r="U424" s="15"/>
      <c r="V424" s="15"/>
      <c r="W424" s="15"/>
      <c r="X424" s="15"/>
      <c r="Y424" s="15"/>
      <c r="Z424" s="15"/>
      <c r="AA424" s="15"/>
      <c r="AB424" s="15"/>
      <c r="AC424" s="15"/>
      <c r="AD424" s="15"/>
    </row>
    <row r="425" spans="1:30" outlineLevel="1">
      <c r="C425" s="42"/>
      <c r="D425" s="42"/>
      <c r="E425" s="42"/>
      <c r="F425" s="42"/>
      <c r="G425" s="42"/>
      <c r="H425" s="42"/>
      <c r="I425" s="42"/>
      <c r="J425" s="42"/>
      <c r="K425" s="42"/>
      <c r="L425" s="42"/>
      <c r="M425" s="42"/>
      <c r="N425" s="42"/>
      <c r="O425" s="42"/>
      <c r="P425" s="42"/>
      <c r="Q425" s="42"/>
      <c r="R425" s="42"/>
      <c r="S425" s="42"/>
      <c r="T425" s="42"/>
      <c r="U425" s="42"/>
      <c r="V425" s="42"/>
      <c r="W425" s="42"/>
      <c r="X425" s="42"/>
      <c r="Y425" s="42"/>
      <c r="Z425" s="42"/>
      <c r="AA425" s="42"/>
      <c r="AB425" s="42"/>
      <c r="AC425" s="42"/>
      <c r="AD425" s="42"/>
    </row>
    <row r="426" spans="1:30" s="8" customFormat="1" ht="15.5">
      <c r="A426" s="242" t="str">
        <f>'Expected NPV &amp; Common Data'!A$36</f>
        <v>Calendar Year --&gt;</v>
      </c>
      <c r="B426" s="243" t="str">
        <f>'Expected NPV &amp; Common Data'!B$36</f>
        <v>units</v>
      </c>
      <c r="C426" s="244" t="str">
        <f>'Expected NPV &amp; Common Data'!C$36</f>
        <v>Total</v>
      </c>
      <c r="D426" s="245">
        <f>'Expected NPV &amp; Common Data'!D$36</f>
        <v>2027</v>
      </c>
      <c r="E426" s="245">
        <f>'Expected NPV &amp; Common Data'!E$36</f>
        <v>2028</v>
      </c>
      <c r="F426" s="245">
        <f>'Expected NPV &amp; Common Data'!F$36</f>
        <v>2029</v>
      </c>
      <c r="G426" s="245">
        <f>'Expected NPV &amp; Common Data'!G$36</f>
        <v>2030</v>
      </c>
      <c r="H426" s="245">
        <f>'Expected NPV &amp; Common Data'!H$36</f>
        <v>2031</v>
      </c>
      <c r="I426" s="245">
        <f>'Expected NPV &amp; Common Data'!I$36</f>
        <v>2032</v>
      </c>
      <c r="J426" s="245">
        <f>'Expected NPV &amp; Common Data'!J$36</f>
        <v>2033</v>
      </c>
      <c r="K426" s="245">
        <f>'Expected NPV &amp; Common Data'!K$36</f>
        <v>2034</v>
      </c>
      <c r="L426" s="245">
        <f>'Expected NPV &amp; Common Data'!L$36</f>
        <v>2035</v>
      </c>
      <c r="M426" s="245">
        <f>'Expected NPV &amp; Common Data'!M$36</f>
        <v>2036</v>
      </c>
      <c r="N426" s="245">
        <f>'Expected NPV &amp; Common Data'!N$36</f>
        <v>2037</v>
      </c>
      <c r="O426" s="245">
        <f>'Expected NPV &amp; Common Data'!O$36</f>
        <v>2038</v>
      </c>
      <c r="P426" s="245">
        <f>'Expected NPV &amp; Common Data'!P$36</f>
        <v>2039</v>
      </c>
      <c r="Q426" s="245">
        <f>'Expected NPV &amp; Common Data'!Q$36</f>
        <v>2040</v>
      </c>
      <c r="R426" s="245">
        <f>'Expected NPV &amp; Common Data'!R$36</f>
        <v>2041</v>
      </c>
      <c r="S426" s="245">
        <f>'Expected NPV &amp; Common Data'!S$36</f>
        <v>2042</v>
      </c>
      <c r="T426" s="245">
        <f>'Expected NPV &amp; Common Data'!T$36</f>
        <v>2043</v>
      </c>
      <c r="U426" s="245">
        <f>'Expected NPV &amp; Common Data'!U$36</f>
        <v>2044</v>
      </c>
      <c r="V426" s="245">
        <f>'Expected NPV &amp; Common Data'!V$36</f>
        <v>2045</v>
      </c>
      <c r="W426" s="245">
        <f>'Expected NPV &amp; Common Data'!W$36</f>
        <v>2046</v>
      </c>
      <c r="X426" s="245">
        <f>'Expected NPV &amp; Common Data'!X$36</f>
        <v>2047</v>
      </c>
      <c r="Y426" s="245">
        <f>'Expected NPV &amp; Common Data'!Y$36</f>
        <v>2048</v>
      </c>
      <c r="Z426" s="245">
        <f>'Expected NPV &amp; Common Data'!Z$36</f>
        <v>2049</v>
      </c>
      <c r="AA426" s="245">
        <f>'Expected NPV &amp; Common Data'!AA$36</f>
        <v>2050</v>
      </c>
      <c r="AB426" s="245">
        <f>'Expected NPV &amp; Common Data'!AB$36</f>
        <v>2051</v>
      </c>
      <c r="AC426" s="245">
        <f>'Expected NPV &amp; Common Data'!AC$36</f>
        <v>2052</v>
      </c>
      <c r="AD426" s="245">
        <f>'Expected NPV &amp; Common Data'!AD$36</f>
        <v>2053</v>
      </c>
    </row>
    <row r="427" spans="1:30" s="32" customFormat="1" ht="53.25" customHeight="1">
      <c r="A427" s="21" t="s">
        <v>14</v>
      </c>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row>
    <row r="428" spans="1:30" outlineLevel="1">
      <c r="A428" s="282" t="s">
        <v>586</v>
      </c>
      <c r="D428" s="15"/>
      <c r="E428" s="15"/>
      <c r="F428" s="15"/>
      <c r="G428" s="15"/>
      <c r="H428" s="15"/>
      <c r="I428" s="15"/>
      <c r="J428" s="15"/>
      <c r="K428" s="15"/>
      <c r="L428" s="15"/>
      <c r="M428" s="15"/>
      <c r="N428" s="15"/>
      <c r="O428" s="15"/>
      <c r="P428" s="15"/>
      <c r="Q428" s="15"/>
      <c r="R428" s="15"/>
      <c r="S428" s="15"/>
      <c r="T428" s="15"/>
      <c r="U428" s="15"/>
      <c r="V428" s="15"/>
      <c r="W428" s="15"/>
      <c r="X428" s="15"/>
      <c r="Y428" s="15"/>
      <c r="Z428" s="15"/>
      <c r="AA428" s="15"/>
      <c r="AB428" s="15"/>
      <c r="AC428" s="15"/>
      <c r="AD428" s="15"/>
    </row>
    <row r="429" spans="1:30" ht="43.25" customHeight="1">
      <c r="A429" s="23" t="s">
        <v>29</v>
      </c>
      <c r="D429" s="15"/>
      <c r="E429" s="15"/>
      <c r="F429" s="15"/>
      <c r="G429" s="15"/>
      <c r="H429" s="15"/>
      <c r="I429" s="15"/>
      <c r="J429" s="15"/>
      <c r="K429" s="15"/>
      <c r="L429" s="15"/>
      <c r="M429" s="15"/>
      <c r="N429" s="15"/>
      <c r="O429" s="15"/>
      <c r="P429" s="15"/>
      <c r="Q429" s="15"/>
      <c r="R429" s="15"/>
      <c r="S429" s="15"/>
      <c r="T429" s="15"/>
      <c r="U429" s="15"/>
      <c r="V429" s="15"/>
      <c r="W429" s="15"/>
      <c r="X429" s="15"/>
      <c r="Y429" s="15"/>
      <c r="Z429" s="15"/>
      <c r="AA429" s="15"/>
      <c r="AB429" s="15"/>
      <c r="AC429" s="15"/>
      <c r="AD429" s="15"/>
    </row>
    <row r="430" spans="1:30" s="62" customFormat="1" outlineLevel="1">
      <c r="A430" s="13" t="s">
        <v>557</v>
      </c>
      <c r="B430" s="60"/>
      <c r="C430" s="42"/>
      <c r="D430" s="61"/>
      <c r="E430" s="61"/>
      <c r="F430" s="61"/>
      <c r="G430" s="61"/>
      <c r="H430" s="61"/>
      <c r="I430" s="61"/>
      <c r="J430" s="61"/>
      <c r="K430" s="61"/>
      <c r="L430" s="61"/>
      <c r="M430" s="61"/>
      <c r="N430" s="61"/>
      <c r="O430" s="61"/>
      <c r="P430" s="61"/>
      <c r="Q430" s="61"/>
      <c r="R430" s="61"/>
      <c r="S430" s="61"/>
      <c r="T430" s="61"/>
      <c r="U430" s="61"/>
      <c r="V430" s="61"/>
      <c r="W430" s="61"/>
      <c r="X430" s="61"/>
      <c r="Y430" s="61"/>
      <c r="Z430" s="61"/>
      <c r="AA430" s="61"/>
      <c r="AB430" s="61"/>
      <c r="AC430" s="61"/>
      <c r="AD430" s="61"/>
    </row>
    <row r="431" spans="1:30" s="62" customFormat="1" outlineLevel="1">
      <c r="A431" s="50" t="str">
        <f>A115</f>
        <v>Alpha Pit</v>
      </c>
      <c r="B431" s="60"/>
      <c r="C431" s="42"/>
      <c r="D431" s="61"/>
      <c r="E431" s="61"/>
      <c r="F431" s="61"/>
      <c r="G431" s="61"/>
      <c r="H431" s="61"/>
      <c r="I431" s="61"/>
      <c r="J431" s="61"/>
      <c r="K431" s="61"/>
      <c r="L431" s="61"/>
      <c r="M431" s="61"/>
      <c r="N431" s="61"/>
      <c r="O431" s="61"/>
      <c r="P431" s="61"/>
      <c r="Q431" s="61"/>
      <c r="R431" s="61"/>
      <c r="S431" s="61"/>
      <c r="T431" s="61"/>
      <c r="U431" s="61"/>
      <c r="V431" s="61"/>
      <c r="W431" s="61"/>
      <c r="X431" s="61"/>
      <c r="Y431" s="61"/>
      <c r="Z431" s="61"/>
      <c r="AA431" s="61"/>
      <c r="AB431" s="61"/>
      <c r="AC431" s="61"/>
      <c r="AD431" s="61"/>
    </row>
    <row r="432" spans="1:30" s="45" customFormat="1" outlineLevel="1">
      <c r="A432" s="45" t="str">
        <f>A116</f>
        <v>Waste mined - Alpha Pit</v>
      </c>
      <c r="B432" s="45" t="str">
        <f>B116</f>
        <v>M dry tonnes</v>
      </c>
      <c r="C432" s="42">
        <f>SUM(D432:AD432)</f>
        <v>492</v>
      </c>
      <c r="D432" s="42">
        <f t="shared" ref="D432:AD432" si="164">D116</f>
        <v>0</v>
      </c>
      <c r="E432" s="42">
        <f t="shared" si="164"/>
        <v>37</v>
      </c>
      <c r="F432" s="42">
        <f t="shared" si="164"/>
        <v>37</v>
      </c>
      <c r="G432" s="42">
        <f t="shared" si="164"/>
        <v>35</v>
      </c>
      <c r="H432" s="42">
        <f t="shared" si="164"/>
        <v>60</v>
      </c>
      <c r="I432" s="42">
        <f t="shared" si="164"/>
        <v>60</v>
      </c>
      <c r="J432" s="42">
        <f t="shared" si="164"/>
        <v>48</v>
      </c>
      <c r="K432" s="42">
        <f t="shared" si="164"/>
        <v>38</v>
      </c>
      <c r="L432" s="42">
        <f t="shared" si="164"/>
        <v>38</v>
      </c>
      <c r="M432" s="42">
        <f t="shared" si="164"/>
        <v>38</v>
      </c>
      <c r="N432" s="42">
        <f t="shared" si="164"/>
        <v>38</v>
      </c>
      <c r="O432" s="42">
        <f t="shared" si="164"/>
        <v>38</v>
      </c>
      <c r="P432" s="42">
        <f t="shared" si="164"/>
        <v>25</v>
      </c>
      <c r="Q432" s="42">
        <f t="shared" si="164"/>
        <v>0</v>
      </c>
      <c r="R432" s="42">
        <f t="shared" si="164"/>
        <v>0</v>
      </c>
      <c r="S432" s="42">
        <f t="shared" si="164"/>
        <v>0</v>
      </c>
      <c r="T432" s="42">
        <f t="shared" si="164"/>
        <v>0</v>
      </c>
      <c r="U432" s="42">
        <f t="shared" si="164"/>
        <v>0</v>
      </c>
      <c r="V432" s="42">
        <f t="shared" si="164"/>
        <v>0</v>
      </c>
      <c r="W432" s="42">
        <f t="shared" si="164"/>
        <v>0</v>
      </c>
      <c r="X432" s="42">
        <f t="shared" si="164"/>
        <v>0</v>
      </c>
      <c r="Y432" s="42">
        <f t="shared" si="164"/>
        <v>0</v>
      </c>
      <c r="Z432" s="42">
        <f t="shared" si="164"/>
        <v>0</v>
      </c>
      <c r="AA432" s="42">
        <f t="shared" si="164"/>
        <v>0</v>
      </c>
      <c r="AB432" s="42">
        <f t="shared" si="164"/>
        <v>0</v>
      </c>
      <c r="AC432" s="42">
        <f t="shared" si="164"/>
        <v>0</v>
      </c>
      <c r="AD432" s="42">
        <f t="shared" si="164"/>
        <v>0</v>
      </c>
    </row>
    <row r="433" spans="1:30" outlineLevel="1">
      <c r="A433" s="283" t="s">
        <v>294</v>
      </c>
      <c r="B433" s="13" t="s">
        <v>451</v>
      </c>
      <c r="C433" s="42"/>
      <c r="D433" s="61"/>
      <c r="E433" s="284">
        <v>3.1</v>
      </c>
      <c r="F433" s="284">
        <f t="shared" ref="F433:O433" si="165">E433+0.05</f>
        <v>3.15</v>
      </c>
      <c r="G433" s="284">
        <f t="shared" si="165"/>
        <v>3.1999999999999997</v>
      </c>
      <c r="H433" s="284">
        <f t="shared" si="165"/>
        <v>3.2499999999999996</v>
      </c>
      <c r="I433" s="284">
        <f t="shared" si="165"/>
        <v>3.2999999999999994</v>
      </c>
      <c r="J433" s="284">
        <f t="shared" si="165"/>
        <v>3.3499999999999992</v>
      </c>
      <c r="K433" s="284">
        <f t="shared" si="165"/>
        <v>3.399999999999999</v>
      </c>
      <c r="L433" s="284">
        <f t="shared" si="165"/>
        <v>3.4499999999999988</v>
      </c>
      <c r="M433" s="284">
        <f t="shared" si="165"/>
        <v>3.4999999999999987</v>
      </c>
      <c r="N433" s="284">
        <f t="shared" si="165"/>
        <v>3.5499999999999985</v>
      </c>
      <c r="O433" s="284">
        <f t="shared" si="165"/>
        <v>3.5999999999999983</v>
      </c>
      <c r="P433" s="284">
        <f t="shared" ref="P433:AD433" si="166">O433</f>
        <v>3.5999999999999983</v>
      </c>
      <c r="Q433" s="284">
        <f t="shared" si="166"/>
        <v>3.5999999999999983</v>
      </c>
      <c r="R433" s="284">
        <f t="shared" si="166"/>
        <v>3.5999999999999983</v>
      </c>
      <c r="S433" s="284">
        <f t="shared" si="166"/>
        <v>3.5999999999999983</v>
      </c>
      <c r="T433" s="284">
        <f t="shared" si="166"/>
        <v>3.5999999999999983</v>
      </c>
      <c r="U433" s="284">
        <f t="shared" si="166"/>
        <v>3.5999999999999983</v>
      </c>
      <c r="V433" s="284">
        <f t="shared" si="166"/>
        <v>3.5999999999999983</v>
      </c>
      <c r="W433" s="284">
        <f t="shared" si="166"/>
        <v>3.5999999999999983</v>
      </c>
      <c r="X433" s="284">
        <f t="shared" si="166"/>
        <v>3.5999999999999983</v>
      </c>
      <c r="Y433" s="284">
        <f t="shared" si="166"/>
        <v>3.5999999999999983</v>
      </c>
      <c r="Z433" s="284">
        <f t="shared" si="166"/>
        <v>3.5999999999999983</v>
      </c>
      <c r="AA433" s="284">
        <f t="shared" si="166"/>
        <v>3.5999999999999983</v>
      </c>
      <c r="AB433" s="284">
        <f t="shared" si="166"/>
        <v>3.5999999999999983</v>
      </c>
      <c r="AC433" s="284">
        <f t="shared" si="166"/>
        <v>3.5999999999999983</v>
      </c>
      <c r="AD433" s="284">
        <f t="shared" si="166"/>
        <v>3.5999999999999983</v>
      </c>
    </row>
    <row r="434" spans="1:30" s="45" customFormat="1" outlineLevel="1">
      <c r="A434" s="45" t="s">
        <v>296</v>
      </c>
      <c r="B434" s="45" t="s">
        <v>285</v>
      </c>
      <c r="C434" s="42">
        <f>SUM(D434:AD434)</f>
        <v>1652.0499999999997</v>
      </c>
      <c r="D434" s="42"/>
      <c r="E434" s="42">
        <f t="shared" ref="E434:AD434" si="167">E432*E433</f>
        <v>114.7</v>
      </c>
      <c r="F434" s="42">
        <f t="shared" si="167"/>
        <v>116.55</v>
      </c>
      <c r="G434" s="42">
        <f t="shared" si="167"/>
        <v>111.99999999999999</v>
      </c>
      <c r="H434" s="42">
        <f t="shared" si="167"/>
        <v>194.99999999999997</v>
      </c>
      <c r="I434" s="42">
        <f t="shared" si="167"/>
        <v>197.99999999999997</v>
      </c>
      <c r="J434" s="42">
        <f t="shared" si="167"/>
        <v>160.79999999999995</v>
      </c>
      <c r="K434" s="42">
        <f t="shared" si="167"/>
        <v>129.19999999999996</v>
      </c>
      <c r="L434" s="42">
        <f t="shared" si="167"/>
        <v>131.09999999999997</v>
      </c>
      <c r="M434" s="42">
        <f t="shared" si="167"/>
        <v>132.99999999999994</v>
      </c>
      <c r="N434" s="42">
        <f t="shared" si="167"/>
        <v>134.89999999999995</v>
      </c>
      <c r="O434" s="42">
        <f t="shared" si="167"/>
        <v>136.79999999999993</v>
      </c>
      <c r="P434" s="42">
        <f t="shared" si="167"/>
        <v>89.999999999999957</v>
      </c>
      <c r="Q434" s="42">
        <f t="shared" si="167"/>
        <v>0</v>
      </c>
      <c r="R434" s="42">
        <f t="shared" si="167"/>
        <v>0</v>
      </c>
      <c r="S434" s="42">
        <f t="shared" si="167"/>
        <v>0</v>
      </c>
      <c r="T434" s="42">
        <f t="shared" si="167"/>
        <v>0</v>
      </c>
      <c r="U434" s="42">
        <f t="shared" si="167"/>
        <v>0</v>
      </c>
      <c r="V434" s="42">
        <f t="shared" si="167"/>
        <v>0</v>
      </c>
      <c r="W434" s="42">
        <f t="shared" si="167"/>
        <v>0</v>
      </c>
      <c r="X434" s="42">
        <f t="shared" si="167"/>
        <v>0</v>
      </c>
      <c r="Y434" s="42">
        <f t="shared" si="167"/>
        <v>0</v>
      </c>
      <c r="Z434" s="42">
        <f t="shared" si="167"/>
        <v>0</v>
      </c>
      <c r="AA434" s="42">
        <f t="shared" si="167"/>
        <v>0</v>
      </c>
      <c r="AB434" s="42">
        <f t="shared" si="167"/>
        <v>0</v>
      </c>
      <c r="AC434" s="42">
        <f t="shared" si="167"/>
        <v>0</v>
      </c>
      <c r="AD434" s="42">
        <f t="shared" si="167"/>
        <v>0</v>
      </c>
    </row>
    <row r="435" spans="1:30" s="45" customFormat="1" outlineLevel="1">
      <c r="C435" s="42"/>
      <c r="D435" s="42"/>
      <c r="E435" s="42"/>
      <c r="F435" s="42"/>
      <c r="G435" s="42"/>
      <c r="H435" s="42"/>
      <c r="I435" s="42"/>
      <c r="J435" s="42"/>
      <c r="K435" s="42"/>
      <c r="L435" s="42"/>
      <c r="M435" s="42"/>
      <c r="N435" s="42"/>
      <c r="O435" s="42"/>
      <c r="P435" s="42"/>
      <c r="Q435" s="42"/>
      <c r="R435" s="42"/>
      <c r="S435" s="42"/>
      <c r="T435" s="42"/>
      <c r="U435" s="42"/>
      <c r="V435" s="42"/>
      <c r="W435" s="42"/>
      <c r="X435" s="42"/>
      <c r="Y435" s="42"/>
      <c r="Z435" s="42"/>
      <c r="AA435" s="42"/>
      <c r="AB435" s="42"/>
      <c r="AC435" s="42"/>
      <c r="AD435" s="42"/>
    </row>
    <row r="436" spans="1:30" s="45" customFormat="1" outlineLevel="1">
      <c r="A436" s="45" t="str">
        <f>A117</f>
        <v>Ore mined - Alpha Pit</v>
      </c>
      <c r="B436" s="45" t="str">
        <f>B117</f>
        <v>M dry tonnes</v>
      </c>
      <c r="C436" s="42">
        <f>SUM(D436:AD436)</f>
        <v>58</v>
      </c>
      <c r="D436" s="42">
        <f t="shared" ref="D436:AD436" si="168">D117</f>
        <v>0</v>
      </c>
      <c r="E436" s="42">
        <f t="shared" si="168"/>
        <v>0</v>
      </c>
      <c r="F436" s="42">
        <f t="shared" si="168"/>
        <v>6</v>
      </c>
      <c r="G436" s="42">
        <f t="shared" si="168"/>
        <v>8</v>
      </c>
      <c r="H436" s="42">
        <f t="shared" si="168"/>
        <v>8</v>
      </c>
      <c r="I436" s="42">
        <f t="shared" si="168"/>
        <v>8</v>
      </c>
      <c r="J436" s="42">
        <f t="shared" si="168"/>
        <v>8</v>
      </c>
      <c r="K436" s="42">
        <f t="shared" si="168"/>
        <v>5</v>
      </c>
      <c r="L436" s="42">
        <f t="shared" si="168"/>
        <v>3</v>
      </c>
      <c r="M436" s="42">
        <f t="shared" si="168"/>
        <v>3</v>
      </c>
      <c r="N436" s="42">
        <f t="shared" si="168"/>
        <v>3</v>
      </c>
      <c r="O436" s="42">
        <f t="shared" si="168"/>
        <v>3</v>
      </c>
      <c r="P436" s="42">
        <f t="shared" si="168"/>
        <v>3</v>
      </c>
      <c r="Q436" s="42">
        <f t="shared" si="168"/>
        <v>0</v>
      </c>
      <c r="R436" s="42">
        <f t="shared" si="168"/>
        <v>0</v>
      </c>
      <c r="S436" s="42">
        <f t="shared" si="168"/>
        <v>0</v>
      </c>
      <c r="T436" s="42">
        <f t="shared" si="168"/>
        <v>0</v>
      </c>
      <c r="U436" s="42">
        <f t="shared" si="168"/>
        <v>0</v>
      </c>
      <c r="V436" s="42">
        <f t="shared" si="168"/>
        <v>0</v>
      </c>
      <c r="W436" s="42">
        <f t="shared" si="168"/>
        <v>0</v>
      </c>
      <c r="X436" s="42">
        <f t="shared" si="168"/>
        <v>0</v>
      </c>
      <c r="Y436" s="42">
        <f t="shared" si="168"/>
        <v>0</v>
      </c>
      <c r="Z436" s="42">
        <f t="shared" si="168"/>
        <v>0</v>
      </c>
      <c r="AA436" s="42">
        <f t="shared" si="168"/>
        <v>0</v>
      </c>
      <c r="AB436" s="42">
        <f t="shared" si="168"/>
        <v>0</v>
      </c>
      <c r="AC436" s="42">
        <f t="shared" si="168"/>
        <v>0</v>
      </c>
      <c r="AD436" s="42">
        <f t="shared" si="168"/>
        <v>0</v>
      </c>
    </row>
    <row r="437" spans="1:30" outlineLevel="1">
      <c r="A437" s="283" t="s">
        <v>295</v>
      </c>
      <c r="B437" s="13" t="s">
        <v>451</v>
      </c>
      <c r="C437" s="42"/>
      <c r="D437" s="61"/>
      <c r="E437" s="284"/>
      <c r="F437" s="284">
        <v>3.4</v>
      </c>
      <c r="G437" s="284">
        <f t="shared" ref="G437:P437" si="169">F437+0.05</f>
        <v>3.4499999999999997</v>
      </c>
      <c r="H437" s="284">
        <f t="shared" si="169"/>
        <v>3.4999999999999996</v>
      </c>
      <c r="I437" s="284">
        <f t="shared" si="169"/>
        <v>3.5499999999999994</v>
      </c>
      <c r="J437" s="284">
        <f t="shared" si="169"/>
        <v>3.5999999999999992</v>
      </c>
      <c r="K437" s="284">
        <f t="shared" si="169"/>
        <v>3.649999999999999</v>
      </c>
      <c r="L437" s="284">
        <f t="shared" si="169"/>
        <v>3.6999999999999988</v>
      </c>
      <c r="M437" s="284">
        <f t="shared" si="169"/>
        <v>3.7499999999999987</v>
      </c>
      <c r="N437" s="284">
        <f t="shared" si="169"/>
        <v>3.7999999999999985</v>
      </c>
      <c r="O437" s="284">
        <f t="shared" si="169"/>
        <v>3.8499999999999983</v>
      </c>
      <c r="P437" s="284">
        <f t="shared" si="169"/>
        <v>3.8999999999999981</v>
      </c>
      <c r="Q437" s="284">
        <f t="shared" ref="Q437:AD437" si="170">P437</f>
        <v>3.8999999999999981</v>
      </c>
      <c r="R437" s="284">
        <f t="shared" si="170"/>
        <v>3.8999999999999981</v>
      </c>
      <c r="S437" s="284">
        <f t="shared" si="170"/>
        <v>3.8999999999999981</v>
      </c>
      <c r="T437" s="284">
        <f t="shared" si="170"/>
        <v>3.8999999999999981</v>
      </c>
      <c r="U437" s="284">
        <f t="shared" si="170"/>
        <v>3.8999999999999981</v>
      </c>
      <c r="V437" s="284">
        <f t="shared" si="170"/>
        <v>3.8999999999999981</v>
      </c>
      <c r="W437" s="284">
        <f t="shared" si="170"/>
        <v>3.8999999999999981</v>
      </c>
      <c r="X437" s="284">
        <f t="shared" si="170"/>
        <v>3.8999999999999981</v>
      </c>
      <c r="Y437" s="284">
        <f t="shared" si="170"/>
        <v>3.8999999999999981</v>
      </c>
      <c r="Z437" s="284">
        <f t="shared" si="170"/>
        <v>3.8999999999999981</v>
      </c>
      <c r="AA437" s="284">
        <f t="shared" si="170"/>
        <v>3.8999999999999981</v>
      </c>
      <c r="AB437" s="284">
        <f t="shared" si="170"/>
        <v>3.8999999999999981</v>
      </c>
      <c r="AC437" s="284">
        <f t="shared" si="170"/>
        <v>3.8999999999999981</v>
      </c>
      <c r="AD437" s="284">
        <f t="shared" si="170"/>
        <v>3.8999999999999981</v>
      </c>
    </row>
    <row r="438" spans="1:30" s="45" customFormat="1" outlineLevel="1">
      <c r="A438" s="45" t="s">
        <v>297</v>
      </c>
      <c r="B438" s="45" t="s">
        <v>285</v>
      </c>
      <c r="C438" s="42">
        <f>SUM(D438:AD438)</f>
        <v>208.44999999999996</v>
      </c>
      <c r="D438" s="42"/>
      <c r="E438" s="42">
        <f t="shared" ref="E438:AD438" si="171">E436*E437</f>
        <v>0</v>
      </c>
      <c r="F438" s="42">
        <f t="shared" si="171"/>
        <v>20.399999999999999</v>
      </c>
      <c r="G438" s="42">
        <f t="shared" si="171"/>
        <v>27.599999999999998</v>
      </c>
      <c r="H438" s="42">
        <f t="shared" si="171"/>
        <v>27.999999999999996</v>
      </c>
      <c r="I438" s="42">
        <f t="shared" si="171"/>
        <v>28.399999999999995</v>
      </c>
      <c r="J438" s="42">
        <f t="shared" si="171"/>
        <v>28.799999999999994</v>
      </c>
      <c r="K438" s="42">
        <f t="shared" si="171"/>
        <v>18.249999999999996</v>
      </c>
      <c r="L438" s="42">
        <f t="shared" si="171"/>
        <v>11.099999999999996</v>
      </c>
      <c r="M438" s="42">
        <f t="shared" si="171"/>
        <v>11.249999999999996</v>
      </c>
      <c r="N438" s="42">
        <f t="shared" si="171"/>
        <v>11.399999999999995</v>
      </c>
      <c r="O438" s="42">
        <f t="shared" si="171"/>
        <v>11.549999999999995</v>
      </c>
      <c r="P438" s="42">
        <f t="shared" si="171"/>
        <v>11.699999999999994</v>
      </c>
      <c r="Q438" s="42">
        <f t="shared" si="171"/>
        <v>0</v>
      </c>
      <c r="R438" s="42">
        <f t="shared" si="171"/>
        <v>0</v>
      </c>
      <c r="S438" s="42">
        <f t="shared" si="171"/>
        <v>0</v>
      </c>
      <c r="T438" s="42">
        <f t="shared" si="171"/>
        <v>0</v>
      </c>
      <c r="U438" s="42">
        <f t="shared" si="171"/>
        <v>0</v>
      </c>
      <c r="V438" s="42">
        <f t="shared" si="171"/>
        <v>0</v>
      </c>
      <c r="W438" s="42">
        <f t="shared" si="171"/>
        <v>0</v>
      </c>
      <c r="X438" s="42">
        <f t="shared" si="171"/>
        <v>0</v>
      </c>
      <c r="Y438" s="42">
        <f t="shared" si="171"/>
        <v>0</v>
      </c>
      <c r="Z438" s="42">
        <f t="shared" si="171"/>
        <v>0</v>
      </c>
      <c r="AA438" s="42">
        <f t="shared" si="171"/>
        <v>0</v>
      </c>
      <c r="AB438" s="42">
        <f t="shared" si="171"/>
        <v>0</v>
      </c>
      <c r="AC438" s="42">
        <f t="shared" si="171"/>
        <v>0</v>
      </c>
      <c r="AD438" s="42">
        <f t="shared" si="171"/>
        <v>0</v>
      </c>
    </row>
    <row r="439" spans="1:30" s="45" customFormat="1" outlineLevel="1">
      <c r="C439" s="42"/>
      <c r="D439" s="42"/>
      <c r="E439" s="42"/>
      <c r="F439" s="42"/>
      <c r="G439" s="42"/>
      <c r="H439" s="42"/>
      <c r="I439" s="42"/>
      <c r="J439" s="42"/>
      <c r="K439" s="42"/>
      <c r="L439" s="42"/>
      <c r="M439" s="42"/>
      <c r="N439" s="42"/>
      <c r="O439" s="42"/>
      <c r="P439" s="42"/>
      <c r="Q439" s="42"/>
      <c r="R439" s="42"/>
      <c r="S439" s="42"/>
      <c r="T439" s="42"/>
      <c r="U439" s="42"/>
      <c r="V439" s="42"/>
      <c r="W439" s="42"/>
      <c r="X439" s="42"/>
      <c r="Y439" s="42"/>
      <c r="Z439" s="42"/>
      <c r="AA439" s="42"/>
      <c r="AB439" s="42"/>
      <c r="AC439" s="42"/>
      <c r="AD439" s="42"/>
    </row>
    <row r="440" spans="1:30" s="45" customFormat="1" outlineLevel="1">
      <c r="A440" s="45" t="s">
        <v>298</v>
      </c>
      <c r="B440" s="45" t="s">
        <v>285</v>
      </c>
      <c r="C440" s="42">
        <f>SUM(D440:AD440)</f>
        <v>1860.5</v>
      </c>
      <c r="D440" s="70">
        <f t="shared" ref="D440:AD440" si="172">D434+D438</f>
        <v>0</v>
      </c>
      <c r="E440" s="70">
        <f t="shared" si="172"/>
        <v>114.7</v>
      </c>
      <c r="F440" s="70">
        <f t="shared" si="172"/>
        <v>136.94999999999999</v>
      </c>
      <c r="G440" s="70">
        <f t="shared" si="172"/>
        <v>139.6</v>
      </c>
      <c r="H440" s="70">
        <f t="shared" si="172"/>
        <v>222.99999999999997</v>
      </c>
      <c r="I440" s="70">
        <f t="shared" si="172"/>
        <v>226.39999999999998</v>
      </c>
      <c r="J440" s="70">
        <f t="shared" si="172"/>
        <v>189.59999999999994</v>
      </c>
      <c r="K440" s="70">
        <f t="shared" si="172"/>
        <v>147.44999999999996</v>
      </c>
      <c r="L440" s="70">
        <f t="shared" si="172"/>
        <v>142.19999999999996</v>
      </c>
      <c r="M440" s="70">
        <f t="shared" si="172"/>
        <v>144.24999999999994</v>
      </c>
      <c r="N440" s="70">
        <f t="shared" si="172"/>
        <v>146.29999999999995</v>
      </c>
      <c r="O440" s="70">
        <f t="shared" si="172"/>
        <v>148.34999999999991</v>
      </c>
      <c r="P440" s="70">
        <f t="shared" si="172"/>
        <v>101.69999999999995</v>
      </c>
      <c r="Q440" s="70">
        <f t="shared" si="172"/>
        <v>0</v>
      </c>
      <c r="R440" s="70">
        <f t="shared" si="172"/>
        <v>0</v>
      </c>
      <c r="S440" s="70">
        <f t="shared" si="172"/>
        <v>0</v>
      </c>
      <c r="T440" s="70">
        <f t="shared" si="172"/>
        <v>0</v>
      </c>
      <c r="U440" s="70">
        <f t="shared" si="172"/>
        <v>0</v>
      </c>
      <c r="V440" s="70">
        <f t="shared" si="172"/>
        <v>0</v>
      </c>
      <c r="W440" s="70">
        <f t="shared" si="172"/>
        <v>0</v>
      </c>
      <c r="X440" s="70">
        <f t="shared" si="172"/>
        <v>0</v>
      </c>
      <c r="Y440" s="70">
        <f t="shared" si="172"/>
        <v>0</v>
      </c>
      <c r="Z440" s="70">
        <f t="shared" si="172"/>
        <v>0</v>
      </c>
      <c r="AA440" s="70">
        <f t="shared" si="172"/>
        <v>0</v>
      </c>
      <c r="AB440" s="70">
        <f t="shared" si="172"/>
        <v>0</v>
      </c>
      <c r="AC440" s="70">
        <f t="shared" si="172"/>
        <v>0</v>
      </c>
      <c r="AD440" s="70">
        <f t="shared" si="172"/>
        <v>0</v>
      </c>
    </row>
    <row r="441" spans="1:30" s="45" customFormat="1" outlineLevel="1">
      <c r="C441" s="42"/>
      <c r="D441" s="42"/>
      <c r="E441" s="42"/>
      <c r="F441" s="42"/>
      <c r="G441" s="42"/>
      <c r="H441" s="42"/>
      <c r="I441" s="42"/>
      <c r="J441" s="42"/>
      <c r="K441" s="42"/>
      <c r="L441" s="42"/>
      <c r="M441" s="42"/>
      <c r="N441" s="42"/>
      <c r="O441" s="42"/>
      <c r="P441" s="42"/>
      <c r="Q441" s="42"/>
      <c r="R441" s="42"/>
      <c r="S441" s="42"/>
      <c r="T441" s="42"/>
      <c r="U441" s="42"/>
      <c r="V441" s="42"/>
      <c r="W441" s="42"/>
      <c r="X441" s="42"/>
      <c r="Y441" s="42"/>
      <c r="Z441" s="42"/>
      <c r="AA441" s="42"/>
      <c r="AB441" s="42"/>
      <c r="AC441" s="42"/>
      <c r="AD441" s="42"/>
    </row>
    <row r="442" spans="1:30" s="62" customFormat="1" outlineLevel="1">
      <c r="A442" s="50" t="str">
        <f>A128</f>
        <v>Beta Pit</v>
      </c>
      <c r="B442" s="60"/>
      <c r="C442" s="42"/>
      <c r="D442" s="61"/>
      <c r="E442" s="61"/>
      <c r="F442" s="61"/>
      <c r="G442" s="61"/>
      <c r="H442" s="61"/>
      <c r="I442" s="61"/>
      <c r="J442" s="61"/>
      <c r="K442" s="61"/>
      <c r="L442" s="61"/>
      <c r="M442" s="61"/>
      <c r="N442" s="61"/>
      <c r="O442" s="61"/>
      <c r="P442" s="61"/>
      <c r="Q442" s="61"/>
      <c r="R442" s="61"/>
      <c r="S442" s="61"/>
      <c r="T442" s="61"/>
      <c r="U442" s="61"/>
      <c r="V442" s="61"/>
      <c r="W442" s="61"/>
      <c r="X442" s="61"/>
      <c r="Y442" s="61"/>
      <c r="Z442" s="61"/>
      <c r="AA442" s="61"/>
      <c r="AB442" s="61"/>
      <c r="AC442" s="61"/>
      <c r="AD442" s="61"/>
    </row>
    <row r="443" spans="1:30" s="45" customFormat="1" outlineLevel="1">
      <c r="A443" s="45" t="str">
        <f>A129</f>
        <v>Waste mined - Beta Pit</v>
      </c>
      <c r="B443" s="45" t="str">
        <f>B129</f>
        <v>M dry tonnes</v>
      </c>
      <c r="C443" s="42">
        <f>SUM(D443:AD443)</f>
        <v>547</v>
      </c>
      <c r="D443" s="42">
        <f t="shared" ref="D443:AD443" si="173">D129</f>
        <v>0</v>
      </c>
      <c r="E443" s="42">
        <f t="shared" si="173"/>
        <v>0</v>
      </c>
      <c r="F443" s="42">
        <f t="shared" si="173"/>
        <v>0</v>
      </c>
      <c r="G443" s="42">
        <f t="shared" si="173"/>
        <v>0</v>
      </c>
      <c r="H443" s="42">
        <f t="shared" si="173"/>
        <v>0</v>
      </c>
      <c r="I443" s="42">
        <f t="shared" si="173"/>
        <v>0</v>
      </c>
      <c r="J443" s="42">
        <f t="shared" si="173"/>
        <v>42</v>
      </c>
      <c r="K443" s="42">
        <f t="shared" si="173"/>
        <v>52</v>
      </c>
      <c r="L443" s="42">
        <f t="shared" si="173"/>
        <v>52</v>
      </c>
      <c r="M443" s="42">
        <f t="shared" si="173"/>
        <v>52</v>
      </c>
      <c r="N443" s="42">
        <f t="shared" si="173"/>
        <v>52</v>
      </c>
      <c r="O443" s="42">
        <f t="shared" si="173"/>
        <v>52</v>
      </c>
      <c r="P443" s="42">
        <f t="shared" si="173"/>
        <v>65</v>
      </c>
      <c r="Q443" s="42">
        <f t="shared" si="173"/>
        <v>65</v>
      </c>
      <c r="R443" s="42">
        <f t="shared" si="173"/>
        <v>65</v>
      </c>
      <c r="S443" s="42">
        <f t="shared" si="173"/>
        <v>50</v>
      </c>
      <c r="T443" s="42">
        <f t="shared" si="173"/>
        <v>0</v>
      </c>
      <c r="U443" s="42">
        <f t="shared" si="173"/>
        <v>0</v>
      </c>
      <c r="V443" s="42">
        <f t="shared" si="173"/>
        <v>0</v>
      </c>
      <c r="W443" s="42">
        <f t="shared" si="173"/>
        <v>0</v>
      </c>
      <c r="X443" s="42">
        <f t="shared" si="173"/>
        <v>0</v>
      </c>
      <c r="Y443" s="42">
        <f t="shared" si="173"/>
        <v>0</v>
      </c>
      <c r="Z443" s="42">
        <f t="shared" si="173"/>
        <v>0</v>
      </c>
      <c r="AA443" s="42">
        <f t="shared" si="173"/>
        <v>0</v>
      </c>
      <c r="AB443" s="42">
        <f t="shared" si="173"/>
        <v>0</v>
      </c>
      <c r="AC443" s="42">
        <f t="shared" si="173"/>
        <v>0</v>
      </c>
      <c r="AD443" s="42">
        <f t="shared" si="173"/>
        <v>0</v>
      </c>
    </row>
    <row r="444" spans="1:30" outlineLevel="1">
      <c r="A444" s="283" t="s">
        <v>299</v>
      </c>
      <c r="B444" s="13" t="s">
        <v>451</v>
      </c>
      <c r="C444" s="42"/>
      <c r="D444" s="61"/>
      <c r="E444" s="284"/>
      <c r="F444" s="284"/>
      <c r="G444" s="284"/>
      <c r="H444" s="284"/>
      <c r="I444" s="284"/>
      <c r="J444" s="284">
        <v>3.4</v>
      </c>
      <c r="K444" s="284">
        <f t="shared" ref="K444:S444" si="174">J444+0.05</f>
        <v>3.4499999999999997</v>
      </c>
      <c r="L444" s="284">
        <f t="shared" si="174"/>
        <v>3.4999999999999996</v>
      </c>
      <c r="M444" s="284">
        <f t="shared" si="174"/>
        <v>3.5499999999999994</v>
      </c>
      <c r="N444" s="284">
        <f t="shared" si="174"/>
        <v>3.5999999999999992</v>
      </c>
      <c r="O444" s="284">
        <f t="shared" si="174"/>
        <v>3.649999999999999</v>
      </c>
      <c r="P444" s="284">
        <f t="shared" si="174"/>
        <v>3.6999999999999988</v>
      </c>
      <c r="Q444" s="284">
        <f t="shared" si="174"/>
        <v>3.7499999999999987</v>
      </c>
      <c r="R444" s="284">
        <f t="shared" si="174"/>
        <v>3.7999999999999985</v>
      </c>
      <c r="S444" s="284">
        <f t="shared" si="174"/>
        <v>3.8499999999999983</v>
      </c>
      <c r="T444" s="284">
        <f t="shared" ref="T444:AD444" si="175">S444</f>
        <v>3.8499999999999983</v>
      </c>
      <c r="U444" s="284">
        <f t="shared" si="175"/>
        <v>3.8499999999999983</v>
      </c>
      <c r="V444" s="284">
        <f t="shared" si="175"/>
        <v>3.8499999999999983</v>
      </c>
      <c r="W444" s="284">
        <f t="shared" si="175"/>
        <v>3.8499999999999983</v>
      </c>
      <c r="X444" s="284">
        <f t="shared" si="175"/>
        <v>3.8499999999999983</v>
      </c>
      <c r="Y444" s="284">
        <f t="shared" si="175"/>
        <v>3.8499999999999983</v>
      </c>
      <c r="Z444" s="284">
        <f t="shared" si="175"/>
        <v>3.8499999999999983</v>
      </c>
      <c r="AA444" s="284">
        <f t="shared" si="175"/>
        <v>3.8499999999999983</v>
      </c>
      <c r="AB444" s="284">
        <f t="shared" si="175"/>
        <v>3.8499999999999983</v>
      </c>
      <c r="AC444" s="284">
        <f t="shared" si="175"/>
        <v>3.8499999999999983</v>
      </c>
      <c r="AD444" s="284">
        <f t="shared" si="175"/>
        <v>3.8499999999999983</v>
      </c>
    </row>
    <row r="445" spans="1:30" s="45" customFormat="1" outlineLevel="1">
      <c r="A445" s="45" t="s">
        <v>296</v>
      </c>
      <c r="B445" s="45" t="s">
        <v>285</v>
      </c>
      <c r="C445" s="42">
        <f>SUM(D445:AD445)</f>
        <v>1989.5499999999997</v>
      </c>
      <c r="D445" s="42"/>
      <c r="E445" s="42">
        <f t="shared" ref="E445:AD445" si="176">E443*E444</f>
        <v>0</v>
      </c>
      <c r="F445" s="42">
        <f t="shared" si="176"/>
        <v>0</v>
      </c>
      <c r="G445" s="42">
        <f t="shared" si="176"/>
        <v>0</v>
      </c>
      <c r="H445" s="42">
        <f t="shared" si="176"/>
        <v>0</v>
      </c>
      <c r="I445" s="42">
        <f t="shared" si="176"/>
        <v>0</v>
      </c>
      <c r="J445" s="42">
        <f t="shared" si="176"/>
        <v>142.79999999999998</v>
      </c>
      <c r="K445" s="42">
        <f t="shared" si="176"/>
        <v>179.39999999999998</v>
      </c>
      <c r="L445" s="42">
        <f t="shared" si="176"/>
        <v>181.99999999999997</v>
      </c>
      <c r="M445" s="42">
        <f t="shared" si="176"/>
        <v>184.59999999999997</v>
      </c>
      <c r="N445" s="42">
        <f t="shared" si="176"/>
        <v>187.19999999999996</v>
      </c>
      <c r="O445" s="42">
        <f t="shared" si="176"/>
        <v>189.79999999999995</v>
      </c>
      <c r="P445" s="42">
        <f t="shared" si="176"/>
        <v>240.49999999999991</v>
      </c>
      <c r="Q445" s="42">
        <f t="shared" si="176"/>
        <v>243.74999999999991</v>
      </c>
      <c r="R445" s="42">
        <f t="shared" si="176"/>
        <v>246.99999999999991</v>
      </c>
      <c r="S445" s="42">
        <f t="shared" si="176"/>
        <v>192.49999999999991</v>
      </c>
      <c r="T445" s="42">
        <f t="shared" si="176"/>
        <v>0</v>
      </c>
      <c r="U445" s="42">
        <f t="shared" si="176"/>
        <v>0</v>
      </c>
      <c r="V445" s="42">
        <f t="shared" si="176"/>
        <v>0</v>
      </c>
      <c r="W445" s="42">
        <f t="shared" si="176"/>
        <v>0</v>
      </c>
      <c r="X445" s="42">
        <f t="shared" si="176"/>
        <v>0</v>
      </c>
      <c r="Y445" s="42">
        <f t="shared" si="176"/>
        <v>0</v>
      </c>
      <c r="Z445" s="42">
        <f t="shared" si="176"/>
        <v>0</v>
      </c>
      <c r="AA445" s="42">
        <f t="shared" si="176"/>
        <v>0</v>
      </c>
      <c r="AB445" s="42">
        <f t="shared" si="176"/>
        <v>0</v>
      </c>
      <c r="AC445" s="42">
        <f t="shared" si="176"/>
        <v>0</v>
      </c>
      <c r="AD445" s="42">
        <f t="shared" si="176"/>
        <v>0</v>
      </c>
    </row>
    <row r="446" spans="1:30" s="45" customFormat="1" outlineLevel="1">
      <c r="C446" s="42"/>
      <c r="D446" s="42"/>
      <c r="E446" s="42"/>
      <c r="F446" s="42"/>
      <c r="G446" s="42"/>
      <c r="H446" s="42"/>
      <c r="I446" s="42"/>
      <c r="J446" s="42"/>
      <c r="K446" s="42"/>
      <c r="L446" s="42"/>
      <c r="M446" s="42"/>
      <c r="N446" s="42"/>
      <c r="O446" s="42"/>
      <c r="P446" s="42"/>
      <c r="Q446" s="42"/>
      <c r="R446" s="42"/>
      <c r="S446" s="42"/>
      <c r="T446" s="42"/>
      <c r="U446" s="42"/>
      <c r="V446" s="42"/>
      <c r="W446" s="42"/>
      <c r="X446" s="42"/>
      <c r="Y446" s="42"/>
      <c r="Z446" s="42"/>
      <c r="AA446" s="42"/>
      <c r="AB446" s="42"/>
      <c r="AC446" s="42"/>
      <c r="AD446" s="42"/>
    </row>
    <row r="447" spans="1:30" s="45" customFormat="1" outlineLevel="1">
      <c r="A447" s="45" t="str">
        <f>A130</f>
        <v>Ore mined - Beta Pit</v>
      </c>
      <c r="B447" s="45" t="str">
        <f>B130</f>
        <v>M dry tonnes</v>
      </c>
      <c r="C447" s="42">
        <f>SUM(D447:AD447)</f>
        <v>60</v>
      </c>
      <c r="D447" s="42">
        <f t="shared" ref="D447:AD447" si="177">D130</f>
        <v>0</v>
      </c>
      <c r="E447" s="42">
        <f t="shared" si="177"/>
        <v>0</v>
      </c>
      <c r="F447" s="42">
        <f t="shared" si="177"/>
        <v>0</v>
      </c>
      <c r="G447" s="42">
        <f t="shared" si="177"/>
        <v>0</v>
      </c>
      <c r="H447" s="42">
        <f t="shared" si="177"/>
        <v>0</v>
      </c>
      <c r="I447" s="42">
        <f t="shared" si="177"/>
        <v>0</v>
      </c>
      <c r="J447" s="42">
        <f t="shared" si="177"/>
        <v>0</v>
      </c>
      <c r="K447" s="42">
        <f t="shared" si="177"/>
        <v>3</v>
      </c>
      <c r="L447" s="42">
        <f t="shared" si="177"/>
        <v>5</v>
      </c>
      <c r="M447" s="42">
        <f t="shared" si="177"/>
        <v>5</v>
      </c>
      <c r="N447" s="42">
        <f t="shared" si="177"/>
        <v>5</v>
      </c>
      <c r="O447" s="42">
        <f t="shared" si="177"/>
        <v>5</v>
      </c>
      <c r="P447" s="42">
        <f t="shared" si="177"/>
        <v>5</v>
      </c>
      <c r="Q447" s="42">
        <f t="shared" si="177"/>
        <v>8</v>
      </c>
      <c r="R447" s="42">
        <f t="shared" si="177"/>
        <v>8</v>
      </c>
      <c r="S447" s="42">
        <f t="shared" si="177"/>
        <v>8</v>
      </c>
      <c r="T447" s="42">
        <f t="shared" si="177"/>
        <v>8</v>
      </c>
      <c r="U447" s="42">
        <f t="shared" si="177"/>
        <v>0</v>
      </c>
      <c r="V447" s="42">
        <f t="shared" si="177"/>
        <v>0</v>
      </c>
      <c r="W447" s="42">
        <f t="shared" si="177"/>
        <v>0</v>
      </c>
      <c r="X447" s="42">
        <f t="shared" si="177"/>
        <v>0</v>
      </c>
      <c r="Y447" s="42">
        <f t="shared" si="177"/>
        <v>0</v>
      </c>
      <c r="Z447" s="42">
        <f t="shared" si="177"/>
        <v>0</v>
      </c>
      <c r="AA447" s="42">
        <f t="shared" si="177"/>
        <v>0</v>
      </c>
      <c r="AB447" s="42">
        <f t="shared" si="177"/>
        <v>0</v>
      </c>
      <c r="AC447" s="42">
        <f t="shared" si="177"/>
        <v>0</v>
      </c>
      <c r="AD447" s="42">
        <f t="shared" si="177"/>
        <v>0</v>
      </c>
    </row>
    <row r="448" spans="1:30" outlineLevel="1">
      <c r="A448" s="283" t="s">
        <v>300</v>
      </c>
      <c r="B448" s="13" t="s">
        <v>451</v>
      </c>
      <c r="C448" s="42"/>
      <c r="D448" s="61"/>
      <c r="E448" s="284"/>
      <c r="F448" s="284"/>
      <c r="G448" s="284"/>
      <c r="H448" s="284"/>
      <c r="I448" s="284"/>
      <c r="J448" s="284"/>
      <c r="K448" s="284">
        <v>3.65</v>
      </c>
      <c r="L448" s="284">
        <f t="shared" ref="L448:T448" si="178">K448+0.05</f>
        <v>3.6999999999999997</v>
      </c>
      <c r="M448" s="284">
        <f t="shared" si="178"/>
        <v>3.7499999999999996</v>
      </c>
      <c r="N448" s="284">
        <f t="shared" si="178"/>
        <v>3.7999999999999994</v>
      </c>
      <c r="O448" s="284">
        <f t="shared" si="178"/>
        <v>3.8499999999999992</v>
      </c>
      <c r="P448" s="284">
        <f t="shared" si="178"/>
        <v>3.899999999999999</v>
      </c>
      <c r="Q448" s="284">
        <f t="shared" si="178"/>
        <v>3.9499999999999988</v>
      </c>
      <c r="R448" s="284">
        <f t="shared" si="178"/>
        <v>3.9999999999999987</v>
      </c>
      <c r="S448" s="284">
        <f t="shared" si="178"/>
        <v>4.0499999999999989</v>
      </c>
      <c r="T448" s="284">
        <f t="shared" si="178"/>
        <v>4.0999999999999988</v>
      </c>
      <c r="U448" s="284">
        <f t="shared" ref="U448:AD448" si="179">T448</f>
        <v>4.0999999999999988</v>
      </c>
      <c r="V448" s="284">
        <f t="shared" si="179"/>
        <v>4.0999999999999988</v>
      </c>
      <c r="W448" s="284">
        <f t="shared" si="179"/>
        <v>4.0999999999999988</v>
      </c>
      <c r="X448" s="284">
        <f t="shared" si="179"/>
        <v>4.0999999999999988</v>
      </c>
      <c r="Y448" s="284">
        <f t="shared" si="179"/>
        <v>4.0999999999999988</v>
      </c>
      <c r="Z448" s="284">
        <f t="shared" si="179"/>
        <v>4.0999999999999988</v>
      </c>
      <c r="AA448" s="284">
        <f t="shared" si="179"/>
        <v>4.0999999999999988</v>
      </c>
      <c r="AB448" s="284">
        <f t="shared" si="179"/>
        <v>4.0999999999999988</v>
      </c>
      <c r="AC448" s="284">
        <f t="shared" si="179"/>
        <v>4.0999999999999988</v>
      </c>
      <c r="AD448" s="284">
        <f t="shared" si="179"/>
        <v>4.0999999999999988</v>
      </c>
    </row>
    <row r="449" spans="1:30" s="45" customFormat="1" outlineLevel="1">
      <c r="A449" s="45" t="s">
        <v>297</v>
      </c>
      <c r="B449" s="45" t="s">
        <v>285</v>
      </c>
      <c r="C449" s="42">
        <f>SUM(D449:AD449)</f>
        <v>234.74999999999997</v>
      </c>
      <c r="D449" s="42"/>
      <c r="E449" s="42">
        <f t="shared" ref="E449:AD449" si="180">E447*E448</f>
        <v>0</v>
      </c>
      <c r="F449" s="42">
        <f t="shared" si="180"/>
        <v>0</v>
      </c>
      <c r="G449" s="42">
        <f t="shared" si="180"/>
        <v>0</v>
      </c>
      <c r="H449" s="42">
        <f t="shared" si="180"/>
        <v>0</v>
      </c>
      <c r="I449" s="42">
        <f t="shared" si="180"/>
        <v>0</v>
      </c>
      <c r="J449" s="42">
        <f t="shared" si="180"/>
        <v>0</v>
      </c>
      <c r="K449" s="42">
        <f t="shared" si="180"/>
        <v>10.95</v>
      </c>
      <c r="L449" s="42">
        <f t="shared" si="180"/>
        <v>18.5</v>
      </c>
      <c r="M449" s="42">
        <f t="shared" si="180"/>
        <v>18.749999999999996</v>
      </c>
      <c r="N449" s="42">
        <f t="shared" si="180"/>
        <v>18.999999999999996</v>
      </c>
      <c r="O449" s="42">
        <f t="shared" si="180"/>
        <v>19.249999999999996</v>
      </c>
      <c r="P449" s="42">
        <f t="shared" si="180"/>
        <v>19.499999999999996</v>
      </c>
      <c r="Q449" s="42">
        <f t="shared" si="180"/>
        <v>31.599999999999991</v>
      </c>
      <c r="R449" s="42">
        <f t="shared" si="180"/>
        <v>31.999999999999989</v>
      </c>
      <c r="S449" s="42">
        <f t="shared" si="180"/>
        <v>32.399999999999991</v>
      </c>
      <c r="T449" s="42">
        <f t="shared" si="180"/>
        <v>32.79999999999999</v>
      </c>
      <c r="U449" s="42">
        <f t="shared" si="180"/>
        <v>0</v>
      </c>
      <c r="V449" s="42">
        <f t="shared" si="180"/>
        <v>0</v>
      </c>
      <c r="W449" s="42">
        <f t="shared" si="180"/>
        <v>0</v>
      </c>
      <c r="X449" s="42">
        <f t="shared" si="180"/>
        <v>0</v>
      </c>
      <c r="Y449" s="42">
        <f t="shared" si="180"/>
        <v>0</v>
      </c>
      <c r="Z449" s="42">
        <f t="shared" si="180"/>
        <v>0</v>
      </c>
      <c r="AA449" s="42">
        <f t="shared" si="180"/>
        <v>0</v>
      </c>
      <c r="AB449" s="42">
        <f t="shared" si="180"/>
        <v>0</v>
      </c>
      <c r="AC449" s="42">
        <f t="shared" si="180"/>
        <v>0</v>
      </c>
      <c r="AD449" s="42">
        <f t="shared" si="180"/>
        <v>0</v>
      </c>
    </row>
    <row r="450" spans="1:30" s="45" customFormat="1" outlineLevel="1">
      <c r="C450" s="42"/>
      <c r="D450" s="42"/>
      <c r="E450" s="42"/>
      <c r="F450" s="42"/>
      <c r="G450" s="42"/>
      <c r="H450" s="42"/>
      <c r="I450" s="42"/>
      <c r="J450" s="42"/>
      <c r="K450" s="42"/>
      <c r="L450" s="42"/>
      <c r="M450" s="42"/>
      <c r="N450" s="42"/>
      <c r="O450" s="42"/>
      <c r="P450" s="42"/>
      <c r="Q450" s="42"/>
      <c r="R450" s="42"/>
      <c r="S450" s="42"/>
      <c r="T450" s="42"/>
      <c r="U450" s="42"/>
      <c r="V450" s="42"/>
      <c r="W450" s="42"/>
      <c r="X450" s="42"/>
      <c r="Y450" s="42"/>
      <c r="Z450" s="42"/>
      <c r="AA450" s="42"/>
      <c r="AB450" s="42"/>
      <c r="AC450" s="42"/>
      <c r="AD450" s="42"/>
    </row>
    <row r="451" spans="1:30" s="45" customFormat="1" outlineLevel="1">
      <c r="A451" s="45" t="s">
        <v>301</v>
      </c>
      <c r="B451" s="45" t="s">
        <v>285</v>
      </c>
      <c r="C451" s="42">
        <f>SUM(D451:AD451)</f>
        <v>2224.3000000000002</v>
      </c>
      <c r="D451" s="70">
        <f t="shared" ref="D451:AD451" si="181">D445+D449</f>
        <v>0</v>
      </c>
      <c r="E451" s="70">
        <f t="shared" si="181"/>
        <v>0</v>
      </c>
      <c r="F451" s="70">
        <f t="shared" si="181"/>
        <v>0</v>
      </c>
      <c r="G451" s="70">
        <f t="shared" si="181"/>
        <v>0</v>
      </c>
      <c r="H451" s="70">
        <f t="shared" si="181"/>
        <v>0</v>
      </c>
      <c r="I451" s="70">
        <f t="shared" si="181"/>
        <v>0</v>
      </c>
      <c r="J451" s="70">
        <f t="shared" si="181"/>
        <v>142.79999999999998</v>
      </c>
      <c r="K451" s="70">
        <f t="shared" si="181"/>
        <v>190.34999999999997</v>
      </c>
      <c r="L451" s="70">
        <f t="shared" si="181"/>
        <v>200.49999999999997</v>
      </c>
      <c r="M451" s="70">
        <f t="shared" si="181"/>
        <v>203.34999999999997</v>
      </c>
      <c r="N451" s="70">
        <f t="shared" si="181"/>
        <v>206.19999999999996</v>
      </c>
      <c r="O451" s="70">
        <f t="shared" si="181"/>
        <v>209.04999999999995</v>
      </c>
      <c r="P451" s="70">
        <f t="shared" si="181"/>
        <v>259.99999999999989</v>
      </c>
      <c r="Q451" s="70">
        <f t="shared" si="181"/>
        <v>275.34999999999991</v>
      </c>
      <c r="R451" s="70">
        <f t="shared" si="181"/>
        <v>278.99999999999989</v>
      </c>
      <c r="S451" s="70">
        <f t="shared" si="181"/>
        <v>224.89999999999992</v>
      </c>
      <c r="T451" s="70">
        <f t="shared" si="181"/>
        <v>32.79999999999999</v>
      </c>
      <c r="U451" s="70">
        <f t="shared" si="181"/>
        <v>0</v>
      </c>
      <c r="V451" s="70">
        <f t="shared" si="181"/>
        <v>0</v>
      </c>
      <c r="W451" s="70">
        <f t="shared" si="181"/>
        <v>0</v>
      </c>
      <c r="X451" s="70">
        <f t="shared" si="181"/>
        <v>0</v>
      </c>
      <c r="Y451" s="70">
        <f t="shared" si="181"/>
        <v>0</v>
      </c>
      <c r="Z451" s="70">
        <f t="shared" si="181"/>
        <v>0</v>
      </c>
      <c r="AA451" s="70">
        <f t="shared" si="181"/>
        <v>0</v>
      </c>
      <c r="AB451" s="70">
        <f t="shared" si="181"/>
        <v>0</v>
      </c>
      <c r="AC451" s="70">
        <f t="shared" si="181"/>
        <v>0</v>
      </c>
      <c r="AD451" s="70">
        <f t="shared" si="181"/>
        <v>0</v>
      </c>
    </row>
    <row r="452" spans="1:30" s="45" customFormat="1" outlineLevel="1">
      <c r="C452" s="42"/>
      <c r="D452" s="42"/>
      <c r="E452" s="42"/>
      <c r="F452" s="42"/>
      <c r="G452" s="42"/>
      <c r="H452" s="42"/>
      <c r="I452" s="42"/>
      <c r="J452" s="42"/>
      <c r="K452" s="42"/>
      <c r="L452" s="42"/>
      <c r="M452" s="42"/>
      <c r="N452" s="42"/>
      <c r="O452" s="42"/>
      <c r="P452" s="42"/>
      <c r="Q452" s="42"/>
      <c r="R452" s="42"/>
      <c r="S452" s="42"/>
      <c r="T452" s="42"/>
      <c r="U452" s="42"/>
      <c r="V452" s="42"/>
      <c r="W452" s="42"/>
      <c r="X452" s="42"/>
      <c r="Y452" s="42"/>
      <c r="Z452" s="42"/>
      <c r="AA452" s="42"/>
      <c r="AB452" s="42"/>
      <c r="AC452" s="42"/>
      <c r="AD452" s="42"/>
    </row>
    <row r="453" spans="1:30" s="59" customFormat="1" outlineLevel="1">
      <c r="A453" s="59" t="s">
        <v>302</v>
      </c>
      <c r="B453" s="45" t="s">
        <v>285</v>
      </c>
      <c r="C453" s="44">
        <f>SUM(D453:AD453)</f>
        <v>4084.7999999999993</v>
      </c>
      <c r="D453" s="55">
        <f t="shared" ref="D453:AD453" si="182">D440+D451</f>
        <v>0</v>
      </c>
      <c r="E453" s="55">
        <f t="shared" si="182"/>
        <v>114.7</v>
      </c>
      <c r="F453" s="55">
        <f t="shared" si="182"/>
        <v>136.94999999999999</v>
      </c>
      <c r="G453" s="55">
        <f t="shared" si="182"/>
        <v>139.6</v>
      </c>
      <c r="H453" s="55">
        <f t="shared" si="182"/>
        <v>222.99999999999997</v>
      </c>
      <c r="I453" s="55">
        <f t="shared" si="182"/>
        <v>226.39999999999998</v>
      </c>
      <c r="J453" s="55">
        <f t="shared" si="182"/>
        <v>332.39999999999992</v>
      </c>
      <c r="K453" s="55">
        <f t="shared" si="182"/>
        <v>337.79999999999995</v>
      </c>
      <c r="L453" s="55">
        <f t="shared" si="182"/>
        <v>342.69999999999993</v>
      </c>
      <c r="M453" s="55">
        <f t="shared" si="182"/>
        <v>347.59999999999991</v>
      </c>
      <c r="N453" s="55">
        <f t="shared" si="182"/>
        <v>352.49999999999989</v>
      </c>
      <c r="O453" s="55">
        <f t="shared" si="182"/>
        <v>357.39999999999986</v>
      </c>
      <c r="P453" s="55">
        <f t="shared" si="182"/>
        <v>361.69999999999982</v>
      </c>
      <c r="Q453" s="55">
        <f t="shared" si="182"/>
        <v>275.34999999999991</v>
      </c>
      <c r="R453" s="55">
        <f t="shared" si="182"/>
        <v>278.99999999999989</v>
      </c>
      <c r="S453" s="55">
        <f t="shared" si="182"/>
        <v>224.89999999999992</v>
      </c>
      <c r="T453" s="55">
        <f t="shared" si="182"/>
        <v>32.79999999999999</v>
      </c>
      <c r="U453" s="55">
        <f t="shared" si="182"/>
        <v>0</v>
      </c>
      <c r="V453" s="55">
        <f t="shared" si="182"/>
        <v>0</v>
      </c>
      <c r="W453" s="55">
        <f t="shared" si="182"/>
        <v>0</v>
      </c>
      <c r="X453" s="55">
        <f t="shared" si="182"/>
        <v>0</v>
      </c>
      <c r="Y453" s="55">
        <f t="shared" si="182"/>
        <v>0</v>
      </c>
      <c r="Z453" s="55">
        <f t="shared" si="182"/>
        <v>0</v>
      </c>
      <c r="AA453" s="55">
        <f t="shared" si="182"/>
        <v>0</v>
      </c>
      <c r="AB453" s="55">
        <f t="shared" si="182"/>
        <v>0</v>
      </c>
      <c r="AC453" s="55">
        <f t="shared" si="182"/>
        <v>0</v>
      </c>
      <c r="AD453" s="55">
        <f t="shared" si="182"/>
        <v>0</v>
      </c>
    </row>
    <row r="454" spans="1:30" s="45" customFormat="1" outlineLevel="1">
      <c r="C454" s="42"/>
      <c r="D454" s="42"/>
      <c r="E454" s="42"/>
      <c r="F454" s="42"/>
      <c r="G454" s="42"/>
      <c r="H454" s="42"/>
      <c r="I454" s="42"/>
      <c r="J454" s="42"/>
      <c r="K454" s="42"/>
      <c r="L454" s="42"/>
      <c r="M454" s="42"/>
      <c r="N454" s="42"/>
      <c r="O454" s="42"/>
      <c r="P454" s="42"/>
      <c r="Q454" s="42"/>
      <c r="R454" s="42"/>
      <c r="S454" s="42"/>
      <c r="T454" s="42"/>
      <c r="U454" s="42"/>
      <c r="V454" s="42"/>
      <c r="W454" s="42"/>
      <c r="X454" s="42"/>
      <c r="Y454" s="42"/>
      <c r="Z454" s="42"/>
      <c r="AA454" s="42"/>
      <c r="AB454" s="42"/>
      <c r="AC454" s="42"/>
      <c r="AD454" s="42"/>
    </row>
    <row r="455" spans="1:30" s="8" customFormat="1" ht="15.5" outlineLevel="1">
      <c r="A455" s="97" t="s">
        <v>220</v>
      </c>
      <c r="C455" s="4"/>
      <c r="D455" s="4"/>
      <c r="E455" s="4"/>
      <c r="F455" s="4"/>
      <c r="G455" s="4"/>
      <c r="H455" s="4"/>
      <c r="I455" s="4"/>
      <c r="J455" s="4"/>
      <c r="K455" s="4"/>
      <c r="L455" s="4"/>
      <c r="M455" s="4"/>
      <c r="N455" s="4"/>
      <c r="O455" s="4"/>
      <c r="P455" s="4"/>
      <c r="Q455" s="4"/>
      <c r="R455" s="4"/>
      <c r="S455" s="4"/>
      <c r="T455" s="4"/>
      <c r="U455" s="4"/>
      <c r="V455" s="4"/>
      <c r="W455" s="4"/>
      <c r="X455" s="4"/>
      <c r="Y455" s="4"/>
      <c r="Z455" s="4"/>
      <c r="AA455" s="4"/>
      <c r="AB455" s="4"/>
      <c r="AC455" s="4"/>
      <c r="AD455" s="4"/>
    </row>
    <row r="456" spans="1:30" s="62" customFormat="1" outlineLevel="1">
      <c r="A456" s="13" t="s">
        <v>558</v>
      </c>
      <c r="B456" s="60"/>
      <c r="C456" s="42"/>
      <c r="D456" s="61"/>
      <c r="E456" s="61"/>
      <c r="F456" s="61"/>
      <c r="G456" s="61"/>
      <c r="H456" s="61"/>
      <c r="I456" s="61"/>
      <c r="J456" s="61"/>
      <c r="K456" s="61"/>
      <c r="L456" s="61"/>
      <c r="M456" s="61"/>
      <c r="N456" s="61"/>
      <c r="O456" s="61"/>
      <c r="P456" s="61"/>
      <c r="Q456" s="61"/>
      <c r="R456" s="61"/>
      <c r="S456" s="61"/>
      <c r="T456" s="61"/>
      <c r="U456" s="61"/>
      <c r="V456" s="61"/>
      <c r="W456" s="61"/>
      <c r="X456" s="61"/>
      <c r="Y456" s="61"/>
      <c r="Z456" s="61"/>
      <c r="AA456" s="61"/>
      <c r="AB456" s="61"/>
      <c r="AC456" s="61"/>
      <c r="AD456" s="61"/>
    </row>
    <row r="457" spans="1:30" outlineLevel="1">
      <c r="A457" s="283" t="s">
        <v>349</v>
      </c>
      <c r="B457" s="13" t="s">
        <v>452</v>
      </c>
      <c r="C457" s="42"/>
      <c r="D457" s="285">
        <v>12</v>
      </c>
      <c r="E457" s="285">
        <f t="shared" ref="E457:AD457" si="183">D457</f>
        <v>12</v>
      </c>
      <c r="F457" s="285">
        <f t="shared" si="183"/>
        <v>12</v>
      </c>
      <c r="G457" s="285">
        <f t="shared" si="183"/>
        <v>12</v>
      </c>
      <c r="H457" s="285">
        <f t="shared" si="183"/>
        <v>12</v>
      </c>
      <c r="I457" s="285">
        <f t="shared" si="183"/>
        <v>12</v>
      </c>
      <c r="J457" s="285">
        <f t="shared" si="183"/>
        <v>12</v>
      </c>
      <c r="K457" s="285">
        <f t="shared" si="183"/>
        <v>12</v>
      </c>
      <c r="L457" s="285">
        <f t="shared" si="183"/>
        <v>12</v>
      </c>
      <c r="M457" s="285">
        <f t="shared" si="183"/>
        <v>12</v>
      </c>
      <c r="N457" s="285">
        <f t="shared" si="183"/>
        <v>12</v>
      </c>
      <c r="O457" s="285">
        <f t="shared" si="183"/>
        <v>12</v>
      </c>
      <c r="P457" s="285">
        <f t="shared" si="183"/>
        <v>12</v>
      </c>
      <c r="Q457" s="285">
        <f t="shared" si="183"/>
        <v>12</v>
      </c>
      <c r="R457" s="285">
        <f t="shared" si="183"/>
        <v>12</v>
      </c>
      <c r="S457" s="285">
        <f t="shared" si="183"/>
        <v>12</v>
      </c>
      <c r="T457" s="285">
        <f t="shared" si="183"/>
        <v>12</v>
      </c>
      <c r="U457" s="285">
        <f t="shared" si="183"/>
        <v>12</v>
      </c>
      <c r="V457" s="285">
        <f t="shared" si="183"/>
        <v>12</v>
      </c>
      <c r="W457" s="285">
        <f t="shared" si="183"/>
        <v>12</v>
      </c>
      <c r="X457" s="285">
        <f t="shared" si="183"/>
        <v>12</v>
      </c>
      <c r="Y457" s="285">
        <f t="shared" si="183"/>
        <v>12</v>
      </c>
      <c r="Z457" s="285">
        <f t="shared" si="183"/>
        <v>12</v>
      </c>
      <c r="AA457" s="285">
        <f t="shared" si="183"/>
        <v>12</v>
      </c>
      <c r="AB457" s="285">
        <f t="shared" si="183"/>
        <v>12</v>
      </c>
      <c r="AC457" s="285">
        <f t="shared" si="183"/>
        <v>12</v>
      </c>
      <c r="AD457" s="285">
        <f t="shared" si="183"/>
        <v>12</v>
      </c>
    </row>
    <row r="458" spans="1:30" s="59" customFormat="1" outlineLevel="1">
      <c r="A458" s="59" t="s">
        <v>220</v>
      </c>
      <c r="B458" s="45" t="s">
        <v>452</v>
      </c>
      <c r="C458" s="44">
        <f>SUM(D458:AD458)</f>
        <v>192</v>
      </c>
      <c r="D458" s="55">
        <f t="shared" ref="D458:AD458" si="184">IF(D453=0,0,D457)</f>
        <v>0</v>
      </c>
      <c r="E458" s="55">
        <f t="shared" si="184"/>
        <v>12</v>
      </c>
      <c r="F458" s="55">
        <f t="shared" si="184"/>
        <v>12</v>
      </c>
      <c r="G458" s="55">
        <f t="shared" si="184"/>
        <v>12</v>
      </c>
      <c r="H458" s="55">
        <f t="shared" si="184"/>
        <v>12</v>
      </c>
      <c r="I458" s="55">
        <f t="shared" si="184"/>
        <v>12</v>
      </c>
      <c r="J458" s="55">
        <f t="shared" si="184"/>
        <v>12</v>
      </c>
      <c r="K458" s="55">
        <f t="shared" si="184"/>
        <v>12</v>
      </c>
      <c r="L458" s="55">
        <f t="shared" si="184"/>
        <v>12</v>
      </c>
      <c r="M458" s="55">
        <f t="shared" si="184"/>
        <v>12</v>
      </c>
      <c r="N458" s="55">
        <f t="shared" si="184"/>
        <v>12</v>
      </c>
      <c r="O458" s="55">
        <f t="shared" si="184"/>
        <v>12</v>
      </c>
      <c r="P458" s="55">
        <f t="shared" si="184"/>
        <v>12</v>
      </c>
      <c r="Q458" s="55">
        <f t="shared" si="184"/>
        <v>12</v>
      </c>
      <c r="R458" s="55">
        <f t="shared" si="184"/>
        <v>12</v>
      </c>
      <c r="S458" s="55">
        <f t="shared" si="184"/>
        <v>12</v>
      </c>
      <c r="T458" s="55">
        <f t="shared" si="184"/>
        <v>12</v>
      </c>
      <c r="U458" s="55">
        <f t="shared" si="184"/>
        <v>0</v>
      </c>
      <c r="V458" s="55">
        <f t="shared" si="184"/>
        <v>0</v>
      </c>
      <c r="W458" s="55">
        <f t="shared" si="184"/>
        <v>0</v>
      </c>
      <c r="X458" s="55">
        <f t="shared" si="184"/>
        <v>0</v>
      </c>
      <c r="Y458" s="55">
        <f t="shared" si="184"/>
        <v>0</v>
      </c>
      <c r="Z458" s="55">
        <f t="shared" si="184"/>
        <v>0</v>
      </c>
      <c r="AA458" s="55">
        <f t="shared" si="184"/>
        <v>0</v>
      </c>
      <c r="AB458" s="55">
        <f t="shared" si="184"/>
        <v>0</v>
      </c>
      <c r="AC458" s="55">
        <f t="shared" si="184"/>
        <v>0</v>
      </c>
      <c r="AD458" s="55">
        <f t="shared" si="184"/>
        <v>0</v>
      </c>
    </row>
    <row r="459" spans="1:30" s="45" customFormat="1" outlineLevel="1">
      <c r="C459" s="42"/>
      <c r="D459" s="42"/>
      <c r="E459" s="42"/>
      <c r="F459" s="42"/>
      <c r="G459" s="42"/>
      <c r="H459" s="42"/>
      <c r="I459" s="42"/>
      <c r="J459" s="42"/>
      <c r="K459" s="42"/>
      <c r="L459" s="42"/>
      <c r="M459" s="42"/>
      <c r="N459" s="42"/>
      <c r="O459" s="42"/>
      <c r="P459" s="42"/>
      <c r="Q459" s="42"/>
      <c r="R459" s="42"/>
      <c r="S459" s="42"/>
      <c r="T459" s="42"/>
      <c r="U459" s="42"/>
      <c r="V459" s="42"/>
      <c r="W459" s="42"/>
      <c r="X459" s="42"/>
      <c r="Y459" s="42"/>
      <c r="Z459" s="42"/>
      <c r="AA459" s="42"/>
      <c r="AB459" s="42"/>
      <c r="AC459" s="42"/>
      <c r="AD459" s="42"/>
    </row>
    <row r="460" spans="1:30" s="286" customFormat="1" ht="28.75" customHeight="1" outlineLevel="1">
      <c r="A460" s="127" t="s">
        <v>28</v>
      </c>
      <c r="B460" s="117" t="s">
        <v>285</v>
      </c>
      <c r="C460" s="232">
        <f>SUM(D460:AD460)</f>
        <v>4276.7999999999993</v>
      </c>
      <c r="D460" s="287">
        <f t="shared" ref="D460:AD460" si="185">D453+D458</f>
        <v>0</v>
      </c>
      <c r="E460" s="287">
        <f t="shared" si="185"/>
        <v>126.7</v>
      </c>
      <c r="F460" s="287">
        <f t="shared" si="185"/>
        <v>148.94999999999999</v>
      </c>
      <c r="G460" s="287">
        <f t="shared" si="185"/>
        <v>151.6</v>
      </c>
      <c r="H460" s="287">
        <f t="shared" si="185"/>
        <v>234.99999999999997</v>
      </c>
      <c r="I460" s="287">
        <f t="shared" si="185"/>
        <v>238.39999999999998</v>
      </c>
      <c r="J460" s="287">
        <f t="shared" si="185"/>
        <v>344.39999999999992</v>
      </c>
      <c r="K460" s="287">
        <f t="shared" si="185"/>
        <v>349.79999999999995</v>
      </c>
      <c r="L460" s="287">
        <f t="shared" si="185"/>
        <v>354.69999999999993</v>
      </c>
      <c r="M460" s="287">
        <f t="shared" si="185"/>
        <v>359.59999999999991</v>
      </c>
      <c r="N460" s="287">
        <f t="shared" si="185"/>
        <v>364.49999999999989</v>
      </c>
      <c r="O460" s="287">
        <f t="shared" si="185"/>
        <v>369.39999999999986</v>
      </c>
      <c r="P460" s="287">
        <f t="shared" si="185"/>
        <v>373.69999999999982</v>
      </c>
      <c r="Q460" s="287">
        <f t="shared" si="185"/>
        <v>287.34999999999991</v>
      </c>
      <c r="R460" s="287">
        <f t="shared" si="185"/>
        <v>290.99999999999989</v>
      </c>
      <c r="S460" s="287">
        <f t="shared" si="185"/>
        <v>236.89999999999992</v>
      </c>
      <c r="T460" s="287">
        <f t="shared" si="185"/>
        <v>44.79999999999999</v>
      </c>
      <c r="U460" s="287">
        <f t="shared" si="185"/>
        <v>0</v>
      </c>
      <c r="V460" s="287">
        <f t="shared" si="185"/>
        <v>0</v>
      </c>
      <c r="W460" s="287">
        <f t="shared" si="185"/>
        <v>0</v>
      </c>
      <c r="X460" s="287">
        <f t="shared" si="185"/>
        <v>0</v>
      </c>
      <c r="Y460" s="287">
        <f t="shared" si="185"/>
        <v>0</v>
      </c>
      <c r="Z460" s="287">
        <f t="shared" si="185"/>
        <v>0</v>
      </c>
      <c r="AA460" s="287">
        <f t="shared" si="185"/>
        <v>0</v>
      </c>
      <c r="AB460" s="287">
        <f t="shared" si="185"/>
        <v>0</v>
      </c>
      <c r="AC460" s="287">
        <f t="shared" si="185"/>
        <v>0</v>
      </c>
      <c r="AD460" s="287">
        <f t="shared" si="185"/>
        <v>0</v>
      </c>
    </row>
    <row r="461" spans="1:30" s="45" customFormat="1" outlineLevel="1">
      <c r="A461" s="45" t="s">
        <v>304</v>
      </c>
      <c r="B461" s="69" t="s">
        <v>453</v>
      </c>
      <c r="C461" s="45">
        <f t="shared" ref="C461:AD461" si="186">IF(C139=0,0,C460/C139)</f>
        <v>36.24406779661016</v>
      </c>
      <c r="D461" s="45">
        <f t="shared" si="186"/>
        <v>0</v>
      </c>
      <c r="E461" s="45">
        <f t="shared" si="186"/>
        <v>0</v>
      </c>
      <c r="F461" s="45">
        <f t="shared" si="186"/>
        <v>24.824999999999999</v>
      </c>
      <c r="G461" s="45">
        <f t="shared" si="186"/>
        <v>18.95</v>
      </c>
      <c r="H461" s="45">
        <f t="shared" si="186"/>
        <v>29.374999999999996</v>
      </c>
      <c r="I461" s="45">
        <f t="shared" si="186"/>
        <v>29.799999999999997</v>
      </c>
      <c r="J461" s="45">
        <f t="shared" si="186"/>
        <v>43.04999999999999</v>
      </c>
      <c r="K461" s="45">
        <f t="shared" si="186"/>
        <v>43.724999999999994</v>
      </c>
      <c r="L461" s="45">
        <f t="shared" si="186"/>
        <v>44.337499999999991</v>
      </c>
      <c r="M461" s="45">
        <f t="shared" si="186"/>
        <v>44.949999999999989</v>
      </c>
      <c r="N461" s="45">
        <f t="shared" si="186"/>
        <v>45.562499999999986</v>
      </c>
      <c r="O461" s="45">
        <f t="shared" si="186"/>
        <v>46.174999999999983</v>
      </c>
      <c r="P461" s="45">
        <f t="shared" si="186"/>
        <v>46.712499999999977</v>
      </c>
      <c r="Q461" s="45">
        <f t="shared" si="186"/>
        <v>35.918749999999989</v>
      </c>
      <c r="R461" s="45">
        <f t="shared" si="186"/>
        <v>36.374999999999986</v>
      </c>
      <c r="S461" s="45">
        <f t="shared" si="186"/>
        <v>29.61249999999999</v>
      </c>
      <c r="T461" s="45">
        <f t="shared" si="186"/>
        <v>5.5999999999999988</v>
      </c>
      <c r="U461" s="45">
        <f t="shared" si="186"/>
        <v>0</v>
      </c>
      <c r="V461" s="45">
        <f t="shared" si="186"/>
        <v>0</v>
      </c>
      <c r="W461" s="45">
        <f t="shared" si="186"/>
        <v>0</v>
      </c>
      <c r="X461" s="45">
        <f t="shared" si="186"/>
        <v>0</v>
      </c>
      <c r="Y461" s="45">
        <f t="shared" si="186"/>
        <v>0</v>
      </c>
      <c r="Z461" s="45">
        <f t="shared" si="186"/>
        <v>0</v>
      </c>
      <c r="AA461" s="45">
        <f t="shared" si="186"/>
        <v>0</v>
      </c>
      <c r="AB461" s="45">
        <f t="shared" si="186"/>
        <v>0</v>
      </c>
      <c r="AC461" s="45">
        <f t="shared" si="186"/>
        <v>0</v>
      </c>
      <c r="AD461" s="45">
        <f t="shared" si="186"/>
        <v>0</v>
      </c>
    </row>
    <row r="462" spans="1:30" s="65" customFormat="1" outlineLevel="1">
      <c r="A462" s="98"/>
      <c r="B462" s="96"/>
      <c r="C462" s="99"/>
      <c r="D462" s="54"/>
      <c r="E462" s="54"/>
      <c r="F462" s="54"/>
      <c r="G462" s="54"/>
      <c r="H462" s="54"/>
      <c r="I462" s="54"/>
      <c r="J462" s="54"/>
      <c r="K462" s="54"/>
      <c r="L462" s="54"/>
      <c r="M462" s="54"/>
      <c r="N462" s="54"/>
      <c r="O462" s="54"/>
      <c r="P462" s="54"/>
      <c r="Q462" s="54"/>
      <c r="R462" s="54"/>
      <c r="S462" s="54"/>
      <c r="T462" s="54"/>
      <c r="U462" s="54"/>
      <c r="V462" s="54"/>
      <c r="W462" s="54"/>
      <c r="X462" s="54"/>
      <c r="Y462" s="54"/>
      <c r="Z462" s="54"/>
      <c r="AA462" s="54"/>
      <c r="AB462" s="54"/>
      <c r="AC462" s="54"/>
      <c r="AD462" s="54"/>
    </row>
    <row r="463" spans="1:30" s="8" customFormat="1" ht="15.5" outlineLevel="1">
      <c r="A463" s="242" t="str">
        <f>'Expected NPV &amp; Common Data'!A$36</f>
        <v>Calendar Year --&gt;</v>
      </c>
      <c r="B463" s="243" t="str">
        <f>'Expected NPV &amp; Common Data'!B$36</f>
        <v>units</v>
      </c>
      <c r="C463" s="244" t="str">
        <f>'Expected NPV &amp; Common Data'!C$36</f>
        <v>Total</v>
      </c>
      <c r="D463" s="245">
        <f>'Expected NPV &amp; Common Data'!D$36</f>
        <v>2027</v>
      </c>
      <c r="E463" s="245">
        <f>'Expected NPV &amp; Common Data'!E$36</f>
        <v>2028</v>
      </c>
      <c r="F463" s="245">
        <f>'Expected NPV &amp; Common Data'!F$36</f>
        <v>2029</v>
      </c>
      <c r="G463" s="245">
        <f>'Expected NPV &amp; Common Data'!G$36</f>
        <v>2030</v>
      </c>
      <c r="H463" s="245">
        <f>'Expected NPV &amp; Common Data'!H$36</f>
        <v>2031</v>
      </c>
      <c r="I463" s="245">
        <f>'Expected NPV &amp; Common Data'!I$36</f>
        <v>2032</v>
      </c>
      <c r="J463" s="245">
        <f>'Expected NPV &amp; Common Data'!J$36</f>
        <v>2033</v>
      </c>
      <c r="K463" s="245">
        <f>'Expected NPV &amp; Common Data'!K$36</f>
        <v>2034</v>
      </c>
      <c r="L463" s="245">
        <f>'Expected NPV &amp; Common Data'!L$36</f>
        <v>2035</v>
      </c>
      <c r="M463" s="245">
        <f>'Expected NPV &amp; Common Data'!M$36</f>
        <v>2036</v>
      </c>
      <c r="N463" s="245">
        <f>'Expected NPV &amp; Common Data'!N$36</f>
        <v>2037</v>
      </c>
      <c r="O463" s="245">
        <f>'Expected NPV &amp; Common Data'!O$36</f>
        <v>2038</v>
      </c>
      <c r="P463" s="245">
        <f>'Expected NPV &amp; Common Data'!P$36</f>
        <v>2039</v>
      </c>
      <c r="Q463" s="245">
        <f>'Expected NPV &amp; Common Data'!Q$36</f>
        <v>2040</v>
      </c>
      <c r="R463" s="245">
        <f>'Expected NPV &amp; Common Data'!R$36</f>
        <v>2041</v>
      </c>
      <c r="S463" s="245">
        <f>'Expected NPV &amp; Common Data'!S$36</f>
        <v>2042</v>
      </c>
      <c r="T463" s="245">
        <f>'Expected NPV &amp; Common Data'!T$36</f>
        <v>2043</v>
      </c>
      <c r="U463" s="245">
        <f>'Expected NPV &amp; Common Data'!U$36</f>
        <v>2044</v>
      </c>
      <c r="V463" s="245">
        <f>'Expected NPV &amp; Common Data'!V$36</f>
        <v>2045</v>
      </c>
      <c r="W463" s="245">
        <f>'Expected NPV &amp; Common Data'!W$36</f>
        <v>2046</v>
      </c>
      <c r="X463" s="245">
        <f>'Expected NPV &amp; Common Data'!X$36</f>
        <v>2047</v>
      </c>
      <c r="Y463" s="245">
        <f>'Expected NPV &amp; Common Data'!Y$36</f>
        <v>2048</v>
      </c>
      <c r="Z463" s="245">
        <f>'Expected NPV &amp; Common Data'!Z$36</f>
        <v>2049</v>
      </c>
      <c r="AA463" s="245">
        <f>'Expected NPV &amp; Common Data'!AA$36</f>
        <v>2050</v>
      </c>
      <c r="AB463" s="245">
        <f>'Expected NPV &amp; Common Data'!AB$36</f>
        <v>2051</v>
      </c>
      <c r="AC463" s="245">
        <f>'Expected NPV &amp; Common Data'!AC$36</f>
        <v>2052</v>
      </c>
      <c r="AD463" s="245">
        <f>'Expected NPV &amp; Common Data'!AD$36</f>
        <v>2053</v>
      </c>
    </row>
    <row r="464" spans="1:30" ht="54" customHeight="1">
      <c r="A464" s="23" t="s">
        <v>30</v>
      </c>
      <c r="D464" s="15"/>
      <c r="E464" s="15"/>
      <c r="F464" s="15"/>
      <c r="G464" s="15"/>
      <c r="H464" s="15"/>
      <c r="I464" s="15"/>
      <c r="J464" s="15"/>
      <c r="K464" s="15"/>
      <c r="L464" s="15"/>
      <c r="M464" s="15"/>
      <c r="N464" s="15"/>
      <c r="O464" s="15"/>
      <c r="P464" s="15"/>
      <c r="Q464" s="15"/>
      <c r="R464" s="15"/>
      <c r="S464" s="15"/>
      <c r="T464" s="15"/>
      <c r="U464" s="15"/>
      <c r="V464" s="15"/>
      <c r="W464" s="15"/>
      <c r="X464" s="15"/>
      <c r="Y464" s="15"/>
      <c r="Z464" s="15"/>
      <c r="AA464" s="15"/>
      <c r="AB464" s="15"/>
      <c r="AC464" s="15"/>
      <c r="AD464" s="15"/>
    </row>
    <row r="465" spans="1:30" s="45" customFormat="1" outlineLevel="1">
      <c r="A465" s="45" t="str">
        <f>A154</f>
        <v>ore feed to processing - aggregate</v>
      </c>
      <c r="B465" s="45" t="str">
        <f>B154</f>
        <v>millions dry tonnes</v>
      </c>
      <c r="C465" s="42">
        <f>SUM(D465:AD465)</f>
        <v>117.99999999999999</v>
      </c>
      <c r="D465" s="42">
        <f t="shared" ref="D465:AD465" si="187">D154</f>
        <v>0</v>
      </c>
      <c r="E465" s="42">
        <f t="shared" si="187"/>
        <v>0</v>
      </c>
      <c r="F465" s="42">
        <f t="shared" si="187"/>
        <v>5.0769230769230766</v>
      </c>
      <c r="G465" s="42">
        <f t="shared" si="187"/>
        <v>8</v>
      </c>
      <c r="H465" s="42">
        <f t="shared" si="187"/>
        <v>8</v>
      </c>
      <c r="I465" s="42">
        <f t="shared" si="187"/>
        <v>8</v>
      </c>
      <c r="J465" s="42">
        <f t="shared" si="187"/>
        <v>8.3461538461538467</v>
      </c>
      <c r="K465" s="42">
        <f t="shared" si="187"/>
        <v>7.6538461538461533</v>
      </c>
      <c r="L465" s="42">
        <f t="shared" si="187"/>
        <v>8</v>
      </c>
      <c r="M465" s="42">
        <f t="shared" si="187"/>
        <v>8</v>
      </c>
      <c r="N465" s="42">
        <f t="shared" si="187"/>
        <v>8</v>
      </c>
      <c r="O465" s="42">
        <f t="shared" si="187"/>
        <v>8</v>
      </c>
      <c r="P465" s="42">
        <f t="shared" si="187"/>
        <v>8</v>
      </c>
      <c r="Q465" s="42">
        <f t="shared" si="187"/>
        <v>8</v>
      </c>
      <c r="R465" s="42">
        <f t="shared" si="187"/>
        <v>8</v>
      </c>
      <c r="S465" s="42">
        <f t="shared" si="187"/>
        <v>8</v>
      </c>
      <c r="T465" s="42">
        <f t="shared" si="187"/>
        <v>8.9230769230769234</v>
      </c>
      <c r="U465" s="42">
        <f t="shared" si="187"/>
        <v>0</v>
      </c>
      <c r="V465" s="42">
        <f t="shared" si="187"/>
        <v>0</v>
      </c>
      <c r="W465" s="42">
        <f t="shared" si="187"/>
        <v>0</v>
      </c>
      <c r="X465" s="42">
        <f t="shared" si="187"/>
        <v>0</v>
      </c>
      <c r="Y465" s="42">
        <f t="shared" si="187"/>
        <v>0</v>
      </c>
      <c r="Z465" s="42">
        <f t="shared" si="187"/>
        <v>0</v>
      </c>
      <c r="AA465" s="42">
        <f t="shared" si="187"/>
        <v>0</v>
      </c>
      <c r="AB465" s="42">
        <f t="shared" si="187"/>
        <v>0</v>
      </c>
      <c r="AC465" s="42">
        <f t="shared" si="187"/>
        <v>0</v>
      </c>
      <c r="AD465" s="42">
        <f t="shared" si="187"/>
        <v>0</v>
      </c>
    </row>
    <row r="466" spans="1:30" s="8" customFormat="1" ht="15.5" outlineLevel="1">
      <c r="A466" s="97" t="s">
        <v>330</v>
      </c>
      <c r="C466" s="4"/>
      <c r="D466" s="4"/>
      <c r="E466" s="4"/>
      <c r="F466" s="4"/>
      <c r="G466" s="4"/>
      <c r="H466" s="4"/>
      <c r="I466" s="4"/>
      <c r="J466" s="4"/>
      <c r="K466" s="4"/>
      <c r="L466" s="4"/>
      <c r="M466" s="4"/>
      <c r="N466" s="4"/>
      <c r="O466" s="4"/>
      <c r="P466" s="4"/>
      <c r="Q466" s="4"/>
      <c r="R466" s="4"/>
      <c r="S466" s="4"/>
      <c r="T466" s="4"/>
      <c r="U466" s="4"/>
      <c r="V466" s="4"/>
      <c r="W466" s="4"/>
      <c r="X466" s="4"/>
      <c r="Y466" s="4"/>
      <c r="Z466" s="4"/>
      <c r="AA466" s="4"/>
      <c r="AB466" s="4"/>
      <c r="AC466" s="4"/>
      <c r="AD466" s="4"/>
    </row>
    <row r="467" spans="1:30" s="62" customFormat="1" outlineLevel="1">
      <c r="A467" s="13" t="s">
        <v>559</v>
      </c>
      <c r="B467" s="60"/>
      <c r="C467" s="42"/>
      <c r="D467" s="61"/>
      <c r="E467" s="61"/>
      <c r="F467" s="61"/>
      <c r="G467" s="61"/>
      <c r="H467" s="61"/>
      <c r="I467" s="61"/>
      <c r="J467" s="61"/>
      <c r="K467" s="61"/>
      <c r="L467" s="61"/>
      <c r="M467" s="61"/>
      <c r="N467" s="61"/>
      <c r="O467" s="61"/>
      <c r="P467" s="61"/>
      <c r="Q467" s="61"/>
      <c r="R467" s="61"/>
      <c r="S467" s="61"/>
      <c r="T467" s="61"/>
      <c r="U467" s="61"/>
      <c r="V467" s="61"/>
      <c r="W467" s="61"/>
      <c r="X467" s="61"/>
      <c r="Y467" s="61"/>
      <c r="Z467" s="61"/>
      <c r="AA467" s="61"/>
      <c r="AB467" s="61"/>
      <c r="AC467" s="61"/>
      <c r="AD467" s="61"/>
    </row>
    <row r="468" spans="1:30" s="62" customFormat="1" ht="15.5" outlineLevel="1">
      <c r="A468" s="145" t="s">
        <v>329</v>
      </c>
      <c r="B468" s="114"/>
      <c r="C468" s="40"/>
      <c r="D468" s="115"/>
      <c r="E468" s="115"/>
      <c r="F468" s="115"/>
      <c r="G468" s="61"/>
      <c r="H468" s="61"/>
      <c r="I468" s="61"/>
      <c r="J468" s="61"/>
      <c r="K468" s="61"/>
      <c r="L468" s="61"/>
      <c r="M468" s="61"/>
      <c r="N468" s="61"/>
      <c r="O468" s="61"/>
      <c r="P468" s="61"/>
      <c r="Q468" s="61"/>
      <c r="R468" s="61"/>
      <c r="S468" s="61"/>
      <c r="T468" s="61"/>
      <c r="U468" s="61"/>
      <c r="V468" s="61"/>
      <c r="W468" s="61"/>
      <c r="X468" s="61"/>
      <c r="Y468" s="61"/>
      <c r="Z468" s="61"/>
      <c r="AA468" s="61"/>
      <c r="AB468" s="61"/>
      <c r="AC468" s="61"/>
      <c r="AD468" s="61"/>
    </row>
    <row r="469" spans="1:30" s="62" customFormat="1" outlineLevel="1">
      <c r="A469" s="214" t="s">
        <v>307</v>
      </c>
      <c r="B469" s="214" t="s">
        <v>305</v>
      </c>
      <c r="C469" s="42"/>
      <c r="D469" s="288">
        <v>2.2000000000000002</v>
      </c>
      <c r="E469" s="288">
        <f t="shared" ref="E469:AD469" si="188">D469</f>
        <v>2.2000000000000002</v>
      </c>
      <c r="F469" s="288">
        <f t="shared" si="188"/>
        <v>2.2000000000000002</v>
      </c>
      <c r="G469" s="288">
        <f t="shared" si="188"/>
        <v>2.2000000000000002</v>
      </c>
      <c r="H469" s="288">
        <f t="shared" si="188"/>
        <v>2.2000000000000002</v>
      </c>
      <c r="I469" s="288">
        <f t="shared" si="188"/>
        <v>2.2000000000000002</v>
      </c>
      <c r="J469" s="288">
        <f t="shared" si="188"/>
        <v>2.2000000000000002</v>
      </c>
      <c r="K469" s="288">
        <f t="shared" si="188"/>
        <v>2.2000000000000002</v>
      </c>
      <c r="L469" s="288">
        <f t="shared" si="188"/>
        <v>2.2000000000000002</v>
      </c>
      <c r="M469" s="288">
        <f t="shared" si="188"/>
        <v>2.2000000000000002</v>
      </c>
      <c r="N469" s="288">
        <f t="shared" si="188"/>
        <v>2.2000000000000002</v>
      </c>
      <c r="O469" s="288">
        <f t="shared" si="188"/>
        <v>2.2000000000000002</v>
      </c>
      <c r="P469" s="288">
        <f t="shared" si="188"/>
        <v>2.2000000000000002</v>
      </c>
      <c r="Q469" s="288">
        <f t="shared" si="188"/>
        <v>2.2000000000000002</v>
      </c>
      <c r="R469" s="288">
        <f t="shared" si="188"/>
        <v>2.2000000000000002</v>
      </c>
      <c r="S469" s="288">
        <f t="shared" si="188"/>
        <v>2.2000000000000002</v>
      </c>
      <c r="T469" s="288">
        <f t="shared" si="188"/>
        <v>2.2000000000000002</v>
      </c>
      <c r="U469" s="288">
        <f t="shared" si="188"/>
        <v>2.2000000000000002</v>
      </c>
      <c r="V469" s="288">
        <f t="shared" si="188"/>
        <v>2.2000000000000002</v>
      </c>
      <c r="W469" s="288">
        <f t="shared" si="188"/>
        <v>2.2000000000000002</v>
      </c>
      <c r="X469" s="288">
        <f t="shared" si="188"/>
        <v>2.2000000000000002</v>
      </c>
      <c r="Y469" s="288">
        <f t="shared" si="188"/>
        <v>2.2000000000000002</v>
      </c>
      <c r="Z469" s="288">
        <f t="shared" si="188"/>
        <v>2.2000000000000002</v>
      </c>
      <c r="AA469" s="288">
        <f t="shared" si="188"/>
        <v>2.2000000000000002</v>
      </c>
      <c r="AB469" s="288">
        <f t="shared" si="188"/>
        <v>2.2000000000000002</v>
      </c>
      <c r="AC469" s="288">
        <f t="shared" si="188"/>
        <v>2.2000000000000002</v>
      </c>
      <c r="AD469" s="288">
        <f t="shared" si="188"/>
        <v>2.2000000000000002</v>
      </c>
    </row>
    <row r="470" spans="1:30" s="62" customFormat="1" outlineLevel="1">
      <c r="A470" s="41"/>
      <c r="B470" s="60"/>
      <c r="C470" s="42"/>
      <c r="D470" s="61"/>
      <c r="E470" s="61"/>
      <c r="F470" s="61"/>
      <c r="G470" s="61"/>
      <c r="H470" s="61"/>
      <c r="I470" s="61"/>
      <c r="J470" s="61"/>
      <c r="K470" s="61"/>
      <c r="L470" s="61"/>
      <c r="M470" s="61"/>
      <c r="N470" s="61"/>
      <c r="O470" s="61"/>
      <c r="P470" s="61"/>
      <c r="Q470" s="61"/>
      <c r="R470" s="61"/>
      <c r="S470" s="61"/>
      <c r="T470" s="61"/>
      <c r="U470" s="61"/>
      <c r="V470" s="61"/>
      <c r="W470" s="61"/>
      <c r="X470" s="61"/>
      <c r="Y470" s="61"/>
      <c r="Z470" s="61"/>
      <c r="AA470" s="61"/>
      <c r="AB470" s="61"/>
      <c r="AC470" s="61"/>
      <c r="AD470" s="61"/>
    </row>
    <row r="471" spans="1:30" s="62" customFormat="1" outlineLevel="1">
      <c r="A471" s="214" t="s">
        <v>308</v>
      </c>
      <c r="B471" s="214" t="s">
        <v>309</v>
      </c>
      <c r="C471" s="42"/>
      <c r="D471" s="288">
        <v>1.1000000000000001</v>
      </c>
      <c r="E471" s="288">
        <f t="shared" ref="E471:AD472" si="189">D471</f>
        <v>1.1000000000000001</v>
      </c>
      <c r="F471" s="288">
        <f t="shared" si="189"/>
        <v>1.1000000000000001</v>
      </c>
      <c r="G471" s="288">
        <f t="shared" si="189"/>
        <v>1.1000000000000001</v>
      </c>
      <c r="H471" s="288">
        <f t="shared" si="189"/>
        <v>1.1000000000000001</v>
      </c>
      <c r="I471" s="288">
        <f t="shared" si="189"/>
        <v>1.1000000000000001</v>
      </c>
      <c r="J471" s="288">
        <f t="shared" si="189"/>
        <v>1.1000000000000001</v>
      </c>
      <c r="K471" s="288">
        <f t="shared" si="189"/>
        <v>1.1000000000000001</v>
      </c>
      <c r="L471" s="288">
        <f t="shared" si="189"/>
        <v>1.1000000000000001</v>
      </c>
      <c r="M471" s="288">
        <f t="shared" si="189"/>
        <v>1.1000000000000001</v>
      </c>
      <c r="N471" s="288">
        <f t="shared" si="189"/>
        <v>1.1000000000000001</v>
      </c>
      <c r="O471" s="288">
        <f t="shared" si="189"/>
        <v>1.1000000000000001</v>
      </c>
      <c r="P471" s="288">
        <f t="shared" si="189"/>
        <v>1.1000000000000001</v>
      </c>
      <c r="Q471" s="288">
        <f t="shared" si="189"/>
        <v>1.1000000000000001</v>
      </c>
      <c r="R471" s="288">
        <f t="shared" si="189"/>
        <v>1.1000000000000001</v>
      </c>
      <c r="S471" s="288">
        <f t="shared" si="189"/>
        <v>1.1000000000000001</v>
      </c>
      <c r="T471" s="288">
        <f t="shared" si="189"/>
        <v>1.1000000000000001</v>
      </c>
      <c r="U471" s="288">
        <f t="shared" si="189"/>
        <v>1.1000000000000001</v>
      </c>
      <c r="V471" s="288">
        <f t="shared" si="189"/>
        <v>1.1000000000000001</v>
      </c>
      <c r="W471" s="288">
        <f t="shared" si="189"/>
        <v>1.1000000000000001</v>
      </c>
      <c r="X471" s="288">
        <f t="shared" si="189"/>
        <v>1.1000000000000001</v>
      </c>
      <c r="Y471" s="288">
        <f t="shared" si="189"/>
        <v>1.1000000000000001</v>
      </c>
      <c r="Z471" s="288">
        <f t="shared" si="189"/>
        <v>1.1000000000000001</v>
      </c>
      <c r="AA471" s="288">
        <f t="shared" si="189"/>
        <v>1.1000000000000001</v>
      </c>
      <c r="AB471" s="288">
        <f t="shared" si="189"/>
        <v>1.1000000000000001</v>
      </c>
      <c r="AC471" s="288">
        <f t="shared" si="189"/>
        <v>1.1000000000000001</v>
      </c>
      <c r="AD471" s="288">
        <f t="shared" si="189"/>
        <v>1.1000000000000001</v>
      </c>
    </row>
    <row r="472" spans="1:30" s="62" customFormat="1" outlineLevel="1">
      <c r="A472" s="214" t="s">
        <v>310</v>
      </c>
      <c r="B472" s="214" t="s">
        <v>322</v>
      </c>
      <c r="C472" s="42"/>
      <c r="D472" s="219">
        <v>1080</v>
      </c>
      <c r="E472" s="219">
        <f t="shared" si="189"/>
        <v>1080</v>
      </c>
      <c r="F472" s="219">
        <f t="shared" si="189"/>
        <v>1080</v>
      </c>
      <c r="G472" s="219">
        <f t="shared" si="189"/>
        <v>1080</v>
      </c>
      <c r="H472" s="219">
        <f t="shared" si="189"/>
        <v>1080</v>
      </c>
      <c r="I472" s="219">
        <f t="shared" si="189"/>
        <v>1080</v>
      </c>
      <c r="J472" s="219">
        <f t="shared" si="189"/>
        <v>1080</v>
      </c>
      <c r="K472" s="219">
        <f t="shared" si="189"/>
        <v>1080</v>
      </c>
      <c r="L472" s="219">
        <f t="shared" si="189"/>
        <v>1080</v>
      </c>
      <c r="M472" s="219">
        <f t="shared" si="189"/>
        <v>1080</v>
      </c>
      <c r="N472" s="219">
        <f t="shared" si="189"/>
        <v>1080</v>
      </c>
      <c r="O472" s="219">
        <f t="shared" si="189"/>
        <v>1080</v>
      </c>
      <c r="P472" s="219">
        <f t="shared" si="189"/>
        <v>1080</v>
      </c>
      <c r="Q472" s="219">
        <f t="shared" si="189"/>
        <v>1080</v>
      </c>
      <c r="R472" s="219">
        <f t="shared" si="189"/>
        <v>1080</v>
      </c>
      <c r="S472" s="219">
        <f t="shared" si="189"/>
        <v>1080</v>
      </c>
      <c r="T472" s="219">
        <f t="shared" si="189"/>
        <v>1080</v>
      </c>
      <c r="U472" s="219">
        <f t="shared" si="189"/>
        <v>1080</v>
      </c>
      <c r="V472" s="219">
        <f t="shared" si="189"/>
        <v>1080</v>
      </c>
      <c r="W472" s="219">
        <f t="shared" si="189"/>
        <v>1080</v>
      </c>
      <c r="X472" s="219">
        <f t="shared" si="189"/>
        <v>1080</v>
      </c>
      <c r="Y472" s="219">
        <f t="shared" si="189"/>
        <v>1080</v>
      </c>
      <c r="Z472" s="219">
        <f t="shared" si="189"/>
        <v>1080</v>
      </c>
      <c r="AA472" s="219">
        <f t="shared" si="189"/>
        <v>1080</v>
      </c>
      <c r="AB472" s="219">
        <f t="shared" si="189"/>
        <v>1080</v>
      </c>
      <c r="AC472" s="219">
        <f t="shared" si="189"/>
        <v>1080</v>
      </c>
      <c r="AD472" s="219">
        <f t="shared" si="189"/>
        <v>1080</v>
      </c>
    </row>
    <row r="473" spans="1:30" s="62" customFormat="1" outlineLevel="1">
      <c r="A473" s="45" t="s">
        <v>311</v>
      </c>
      <c r="B473" s="13" t="s">
        <v>406</v>
      </c>
      <c r="C473" s="42"/>
      <c r="D473" s="57">
        <f t="shared" ref="D473:AD473" si="190">D471*D472/1000</f>
        <v>1.1879999999999999</v>
      </c>
      <c r="E473" s="57">
        <f t="shared" si="190"/>
        <v>1.1879999999999999</v>
      </c>
      <c r="F473" s="57">
        <f t="shared" si="190"/>
        <v>1.1879999999999999</v>
      </c>
      <c r="G473" s="57">
        <f t="shared" si="190"/>
        <v>1.1879999999999999</v>
      </c>
      <c r="H473" s="57">
        <f t="shared" si="190"/>
        <v>1.1879999999999999</v>
      </c>
      <c r="I473" s="57">
        <f t="shared" si="190"/>
        <v>1.1879999999999999</v>
      </c>
      <c r="J473" s="57">
        <f t="shared" si="190"/>
        <v>1.1879999999999999</v>
      </c>
      <c r="K473" s="57">
        <f t="shared" si="190"/>
        <v>1.1879999999999999</v>
      </c>
      <c r="L473" s="57">
        <f t="shared" si="190"/>
        <v>1.1879999999999999</v>
      </c>
      <c r="M473" s="57">
        <f t="shared" si="190"/>
        <v>1.1879999999999999</v>
      </c>
      <c r="N473" s="57">
        <f t="shared" si="190"/>
        <v>1.1879999999999999</v>
      </c>
      <c r="O473" s="57">
        <f t="shared" si="190"/>
        <v>1.1879999999999999</v>
      </c>
      <c r="P473" s="57">
        <f t="shared" si="190"/>
        <v>1.1879999999999999</v>
      </c>
      <c r="Q473" s="57">
        <f t="shared" si="190"/>
        <v>1.1879999999999999</v>
      </c>
      <c r="R473" s="57">
        <f t="shared" si="190"/>
        <v>1.1879999999999999</v>
      </c>
      <c r="S473" s="57">
        <f t="shared" si="190"/>
        <v>1.1879999999999999</v>
      </c>
      <c r="T473" s="57">
        <f t="shared" si="190"/>
        <v>1.1879999999999999</v>
      </c>
      <c r="U473" s="57">
        <f t="shared" si="190"/>
        <v>1.1879999999999999</v>
      </c>
      <c r="V473" s="57">
        <f t="shared" si="190"/>
        <v>1.1879999999999999</v>
      </c>
      <c r="W473" s="57">
        <f t="shared" si="190"/>
        <v>1.1879999999999999</v>
      </c>
      <c r="X473" s="57">
        <f t="shared" si="190"/>
        <v>1.1879999999999999</v>
      </c>
      <c r="Y473" s="57">
        <f t="shared" si="190"/>
        <v>1.1879999999999999</v>
      </c>
      <c r="Z473" s="57">
        <f t="shared" si="190"/>
        <v>1.1879999999999999</v>
      </c>
      <c r="AA473" s="57">
        <f t="shared" si="190"/>
        <v>1.1879999999999999</v>
      </c>
      <c r="AB473" s="57">
        <f t="shared" si="190"/>
        <v>1.1879999999999999</v>
      </c>
      <c r="AC473" s="57">
        <f t="shared" si="190"/>
        <v>1.1879999999999999</v>
      </c>
      <c r="AD473" s="57">
        <f t="shared" si="190"/>
        <v>1.1879999999999999</v>
      </c>
    </row>
    <row r="474" spans="1:30" s="62" customFormat="1" outlineLevel="1">
      <c r="A474" s="41"/>
      <c r="B474" s="60"/>
      <c r="C474" s="42"/>
      <c r="D474" s="61"/>
      <c r="E474" s="61"/>
      <c r="F474" s="61"/>
      <c r="G474" s="61"/>
      <c r="H474" s="61"/>
      <c r="I474" s="61"/>
      <c r="J474" s="61"/>
      <c r="K474" s="61"/>
      <c r="L474" s="61"/>
      <c r="M474" s="61"/>
      <c r="N474" s="61"/>
      <c r="O474" s="61"/>
      <c r="P474" s="61"/>
      <c r="Q474" s="61"/>
      <c r="R474" s="61"/>
      <c r="S474" s="61"/>
      <c r="T474" s="61"/>
      <c r="U474" s="61"/>
      <c r="V474" s="61"/>
      <c r="W474" s="61"/>
      <c r="X474" s="61"/>
      <c r="Y474" s="61"/>
      <c r="Z474" s="61"/>
      <c r="AA474" s="61"/>
      <c r="AB474" s="61"/>
      <c r="AC474" s="61"/>
      <c r="AD474" s="61"/>
    </row>
    <row r="475" spans="1:30" s="62" customFormat="1" outlineLevel="1">
      <c r="A475" s="214" t="s">
        <v>312</v>
      </c>
      <c r="B475" s="214" t="s">
        <v>313</v>
      </c>
      <c r="C475" s="42"/>
      <c r="D475" s="288">
        <v>0.7</v>
      </c>
      <c r="E475" s="288">
        <f t="shared" ref="E475:AD476" si="191">D475</f>
        <v>0.7</v>
      </c>
      <c r="F475" s="288">
        <f t="shared" si="191"/>
        <v>0.7</v>
      </c>
      <c r="G475" s="288">
        <f t="shared" si="191"/>
        <v>0.7</v>
      </c>
      <c r="H475" s="288">
        <f t="shared" si="191"/>
        <v>0.7</v>
      </c>
      <c r="I475" s="288">
        <f t="shared" si="191"/>
        <v>0.7</v>
      </c>
      <c r="J475" s="288">
        <f t="shared" si="191"/>
        <v>0.7</v>
      </c>
      <c r="K475" s="288">
        <f t="shared" si="191"/>
        <v>0.7</v>
      </c>
      <c r="L475" s="288">
        <f t="shared" si="191"/>
        <v>0.7</v>
      </c>
      <c r="M475" s="288">
        <f t="shared" si="191"/>
        <v>0.7</v>
      </c>
      <c r="N475" s="288">
        <f t="shared" si="191"/>
        <v>0.7</v>
      </c>
      <c r="O475" s="288">
        <f t="shared" si="191"/>
        <v>0.7</v>
      </c>
      <c r="P475" s="288">
        <f t="shared" si="191"/>
        <v>0.7</v>
      </c>
      <c r="Q475" s="288">
        <f t="shared" si="191"/>
        <v>0.7</v>
      </c>
      <c r="R475" s="288">
        <f t="shared" si="191"/>
        <v>0.7</v>
      </c>
      <c r="S475" s="288">
        <f t="shared" si="191"/>
        <v>0.7</v>
      </c>
      <c r="T475" s="288">
        <f t="shared" si="191"/>
        <v>0.7</v>
      </c>
      <c r="U475" s="288">
        <f t="shared" si="191"/>
        <v>0.7</v>
      </c>
      <c r="V475" s="288">
        <f t="shared" si="191"/>
        <v>0.7</v>
      </c>
      <c r="W475" s="288">
        <f t="shared" si="191"/>
        <v>0.7</v>
      </c>
      <c r="X475" s="288">
        <f t="shared" si="191"/>
        <v>0.7</v>
      </c>
      <c r="Y475" s="288">
        <f t="shared" si="191"/>
        <v>0.7</v>
      </c>
      <c r="Z475" s="288">
        <f t="shared" si="191"/>
        <v>0.7</v>
      </c>
      <c r="AA475" s="288">
        <f t="shared" si="191"/>
        <v>0.7</v>
      </c>
      <c r="AB475" s="288">
        <f t="shared" si="191"/>
        <v>0.7</v>
      </c>
      <c r="AC475" s="288">
        <f t="shared" si="191"/>
        <v>0.7</v>
      </c>
      <c r="AD475" s="288">
        <f t="shared" si="191"/>
        <v>0.7</v>
      </c>
    </row>
    <row r="476" spans="1:30" s="62" customFormat="1" outlineLevel="1">
      <c r="A476" s="214" t="s">
        <v>171</v>
      </c>
      <c r="B476" s="214" t="s">
        <v>323</v>
      </c>
      <c r="C476" s="42"/>
      <c r="D476" s="288">
        <v>0.3</v>
      </c>
      <c r="E476" s="288">
        <f t="shared" si="191"/>
        <v>0.3</v>
      </c>
      <c r="F476" s="288">
        <f t="shared" si="191"/>
        <v>0.3</v>
      </c>
      <c r="G476" s="288">
        <f t="shared" si="191"/>
        <v>0.3</v>
      </c>
      <c r="H476" s="288">
        <f t="shared" si="191"/>
        <v>0.3</v>
      </c>
      <c r="I476" s="288">
        <f t="shared" si="191"/>
        <v>0.3</v>
      </c>
      <c r="J476" s="288">
        <f t="shared" si="191"/>
        <v>0.3</v>
      </c>
      <c r="K476" s="288">
        <f t="shared" si="191"/>
        <v>0.3</v>
      </c>
      <c r="L476" s="288">
        <f t="shared" si="191"/>
        <v>0.3</v>
      </c>
      <c r="M476" s="288">
        <f t="shared" si="191"/>
        <v>0.3</v>
      </c>
      <c r="N476" s="288">
        <f t="shared" si="191"/>
        <v>0.3</v>
      </c>
      <c r="O476" s="288">
        <f t="shared" si="191"/>
        <v>0.3</v>
      </c>
      <c r="P476" s="288">
        <f t="shared" si="191"/>
        <v>0.3</v>
      </c>
      <c r="Q476" s="288">
        <f t="shared" si="191"/>
        <v>0.3</v>
      </c>
      <c r="R476" s="288">
        <f t="shared" si="191"/>
        <v>0.3</v>
      </c>
      <c r="S476" s="288">
        <f t="shared" si="191"/>
        <v>0.3</v>
      </c>
      <c r="T476" s="288">
        <f t="shared" si="191"/>
        <v>0.3</v>
      </c>
      <c r="U476" s="288">
        <f t="shared" si="191"/>
        <v>0.3</v>
      </c>
      <c r="V476" s="288">
        <f t="shared" si="191"/>
        <v>0.3</v>
      </c>
      <c r="W476" s="288">
        <f t="shared" si="191"/>
        <v>0.3</v>
      </c>
      <c r="X476" s="288">
        <f t="shared" si="191"/>
        <v>0.3</v>
      </c>
      <c r="Y476" s="288">
        <f t="shared" si="191"/>
        <v>0.3</v>
      </c>
      <c r="Z476" s="288">
        <f t="shared" si="191"/>
        <v>0.3</v>
      </c>
      <c r="AA476" s="288">
        <f t="shared" si="191"/>
        <v>0.3</v>
      </c>
      <c r="AB476" s="288">
        <f t="shared" si="191"/>
        <v>0.3</v>
      </c>
      <c r="AC476" s="288">
        <f t="shared" si="191"/>
        <v>0.3</v>
      </c>
      <c r="AD476" s="288">
        <f t="shared" si="191"/>
        <v>0.3</v>
      </c>
    </row>
    <row r="477" spans="1:30" s="62" customFormat="1" outlineLevel="1">
      <c r="A477" s="45" t="s">
        <v>324</v>
      </c>
      <c r="B477" s="13" t="s">
        <v>305</v>
      </c>
      <c r="C477" s="44"/>
      <c r="D477" s="57">
        <f t="shared" ref="D477:AD477" si="192">D475*D476</f>
        <v>0.21</v>
      </c>
      <c r="E477" s="57">
        <f t="shared" si="192"/>
        <v>0.21</v>
      </c>
      <c r="F477" s="57">
        <f t="shared" si="192"/>
        <v>0.21</v>
      </c>
      <c r="G477" s="57">
        <f t="shared" si="192"/>
        <v>0.21</v>
      </c>
      <c r="H477" s="57">
        <f t="shared" si="192"/>
        <v>0.21</v>
      </c>
      <c r="I477" s="57">
        <f t="shared" si="192"/>
        <v>0.21</v>
      </c>
      <c r="J477" s="57">
        <f t="shared" si="192"/>
        <v>0.21</v>
      </c>
      <c r="K477" s="57">
        <f t="shared" si="192"/>
        <v>0.21</v>
      </c>
      <c r="L477" s="57">
        <f t="shared" si="192"/>
        <v>0.21</v>
      </c>
      <c r="M477" s="57">
        <f t="shared" si="192"/>
        <v>0.21</v>
      </c>
      <c r="N477" s="57">
        <f t="shared" si="192"/>
        <v>0.21</v>
      </c>
      <c r="O477" s="57">
        <f t="shared" si="192"/>
        <v>0.21</v>
      </c>
      <c r="P477" s="57">
        <f t="shared" si="192"/>
        <v>0.21</v>
      </c>
      <c r="Q477" s="57">
        <f t="shared" si="192"/>
        <v>0.21</v>
      </c>
      <c r="R477" s="57">
        <f t="shared" si="192"/>
        <v>0.21</v>
      </c>
      <c r="S477" s="57">
        <f t="shared" si="192"/>
        <v>0.21</v>
      </c>
      <c r="T477" s="57">
        <f t="shared" si="192"/>
        <v>0.21</v>
      </c>
      <c r="U477" s="57">
        <f t="shared" si="192"/>
        <v>0.21</v>
      </c>
      <c r="V477" s="57">
        <f t="shared" si="192"/>
        <v>0.21</v>
      </c>
      <c r="W477" s="57">
        <f t="shared" si="192"/>
        <v>0.21</v>
      </c>
      <c r="X477" s="57">
        <f t="shared" si="192"/>
        <v>0.21</v>
      </c>
      <c r="Y477" s="57">
        <f t="shared" si="192"/>
        <v>0.21</v>
      </c>
      <c r="Z477" s="57">
        <f t="shared" si="192"/>
        <v>0.21</v>
      </c>
      <c r="AA477" s="57">
        <f t="shared" si="192"/>
        <v>0.21</v>
      </c>
      <c r="AB477" s="57">
        <f t="shared" si="192"/>
        <v>0.21</v>
      </c>
      <c r="AC477" s="57">
        <f t="shared" si="192"/>
        <v>0.21</v>
      </c>
      <c r="AD477" s="57">
        <f t="shared" si="192"/>
        <v>0.21</v>
      </c>
    </row>
    <row r="478" spans="1:30" s="62" customFormat="1" outlineLevel="1">
      <c r="A478" s="45"/>
      <c r="B478" s="13"/>
      <c r="C478" s="44"/>
      <c r="D478" s="57"/>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row>
    <row r="479" spans="1:30" s="62" customFormat="1" outlineLevel="1">
      <c r="A479" s="45" t="s">
        <v>306</v>
      </c>
      <c r="B479" s="13" t="s">
        <v>305</v>
      </c>
      <c r="C479" s="44"/>
      <c r="D479" s="289">
        <f t="shared" ref="D479:AD479" si="193">D469+D473+D477</f>
        <v>3.5979999999999999</v>
      </c>
      <c r="E479" s="289">
        <f t="shared" si="193"/>
        <v>3.5979999999999999</v>
      </c>
      <c r="F479" s="289">
        <f t="shared" si="193"/>
        <v>3.5979999999999999</v>
      </c>
      <c r="G479" s="289">
        <f t="shared" si="193"/>
        <v>3.5979999999999999</v>
      </c>
      <c r="H479" s="289">
        <f t="shared" si="193"/>
        <v>3.5979999999999999</v>
      </c>
      <c r="I479" s="289">
        <f t="shared" si="193"/>
        <v>3.5979999999999999</v>
      </c>
      <c r="J479" s="289">
        <f t="shared" si="193"/>
        <v>3.5979999999999999</v>
      </c>
      <c r="K479" s="289">
        <f t="shared" si="193"/>
        <v>3.5979999999999999</v>
      </c>
      <c r="L479" s="289">
        <f t="shared" si="193"/>
        <v>3.5979999999999999</v>
      </c>
      <c r="M479" s="289">
        <f t="shared" si="193"/>
        <v>3.5979999999999999</v>
      </c>
      <c r="N479" s="289">
        <f t="shared" si="193"/>
        <v>3.5979999999999999</v>
      </c>
      <c r="O479" s="289">
        <f t="shared" si="193"/>
        <v>3.5979999999999999</v>
      </c>
      <c r="P479" s="289">
        <f t="shared" si="193"/>
        <v>3.5979999999999999</v>
      </c>
      <c r="Q479" s="289">
        <f t="shared" si="193"/>
        <v>3.5979999999999999</v>
      </c>
      <c r="R479" s="289">
        <f t="shared" si="193"/>
        <v>3.5979999999999999</v>
      </c>
      <c r="S479" s="289">
        <f t="shared" si="193"/>
        <v>3.5979999999999999</v>
      </c>
      <c r="T479" s="289">
        <f t="shared" si="193"/>
        <v>3.5979999999999999</v>
      </c>
      <c r="U479" s="289">
        <f t="shared" si="193"/>
        <v>3.5979999999999999</v>
      </c>
      <c r="V479" s="289">
        <f t="shared" si="193"/>
        <v>3.5979999999999999</v>
      </c>
      <c r="W479" s="289">
        <f t="shared" si="193"/>
        <v>3.5979999999999999</v>
      </c>
      <c r="X479" s="289">
        <f t="shared" si="193"/>
        <v>3.5979999999999999</v>
      </c>
      <c r="Y479" s="289">
        <f t="shared" si="193"/>
        <v>3.5979999999999999</v>
      </c>
      <c r="Z479" s="289">
        <f t="shared" si="193"/>
        <v>3.5979999999999999</v>
      </c>
      <c r="AA479" s="289">
        <f t="shared" si="193"/>
        <v>3.5979999999999999</v>
      </c>
      <c r="AB479" s="289">
        <f t="shared" si="193"/>
        <v>3.5979999999999999</v>
      </c>
      <c r="AC479" s="289">
        <f t="shared" si="193"/>
        <v>3.5979999999999999</v>
      </c>
      <c r="AD479" s="289">
        <f t="shared" si="193"/>
        <v>3.5979999999999999</v>
      </c>
    </row>
    <row r="480" spans="1:30" s="62" customFormat="1" outlineLevel="1">
      <c r="A480" s="45"/>
      <c r="B480" s="13"/>
      <c r="C480" s="44"/>
      <c r="D480" s="57"/>
      <c r="E480" s="57"/>
      <c r="F480" s="57"/>
      <c r="G480" s="61"/>
      <c r="H480" s="61"/>
      <c r="I480" s="61"/>
      <c r="J480" s="61"/>
      <c r="K480" s="61"/>
      <c r="L480" s="61"/>
      <c r="M480" s="61"/>
      <c r="N480" s="61"/>
      <c r="O480" s="61"/>
      <c r="P480" s="61"/>
      <c r="Q480" s="61"/>
      <c r="R480" s="61"/>
      <c r="S480" s="61"/>
      <c r="T480" s="61"/>
      <c r="U480" s="61"/>
      <c r="V480" s="61"/>
      <c r="W480" s="61"/>
      <c r="X480" s="61"/>
      <c r="Y480" s="61"/>
      <c r="Z480" s="61"/>
      <c r="AA480" s="61"/>
      <c r="AB480" s="61"/>
      <c r="AC480" s="61"/>
      <c r="AD480" s="61"/>
    </row>
    <row r="481" spans="1:30" s="62" customFormat="1" ht="15.5" outlineLevel="1">
      <c r="A481" s="145" t="s">
        <v>315</v>
      </c>
      <c r="B481" s="114"/>
      <c r="C481" s="40"/>
      <c r="D481" s="115"/>
      <c r="E481" s="115"/>
      <c r="F481" s="115"/>
      <c r="G481" s="61"/>
      <c r="H481" s="61"/>
      <c r="I481" s="61"/>
      <c r="J481" s="61"/>
      <c r="K481" s="61"/>
      <c r="L481" s="61"/>
      <c r="M481" s="61"/>
      <c r="N481" s="61"/>
      <c r="O481" s="61"/>
      <c r="P481" s="61"/>
      <c r="Q481" s="61"/>
      <c r="R481" s="61"/>
      <c r="S481" s="61"/>
      <c r="T481" s="61"/>
      <c r="U481" s="61"/>
      <c r="V481" s="61"/>
      <c r="W481" s="61"/>
      <c r="X481" s="61"/>
      <c r="Y481" s="61"/>
      <c r="Z481" s="61"/>
      <c r="AA481" s="61"/>
      <c r="AB481" s="61"/>
      <c r="AC481" s="61"/>
      <c r="AD481" s="61"/>
    </row>
    <row r="482" spans="1:30" s="62" customFormat="1" outlineLevel="1">
      <c r="A482" s="214" t="s">
        <v>316</v>
      </c>
      <c r="B482" s="214" t="s">
        <v>317</v>
      </c>
      <c r="C482" s="42"/>
      <c r="D482" s="219">
        <v>38</v>
      </c>
      <c r="E482" s="219">
        <f t="shared" ref="E482:AD483" si="194">D482</f>
        <v>38</v>
      </c>
      <c r="F482" s="219">
        <f t="shared" si="194"/>
        <v>38</v>
      </c>
      <c r="G482" s="219">
        <f t="shared" si="194"/>
        <v>38</v>
      </c>
      <c r="H482" s="219">
        <f t="shared" si="194"/>
        <v>38</v>
      </c>
      <c r="I482" s="219">
        <f t="shared" si="194"/>
        <v>38</v>
      </c>
      <c r="J482" s="219">
        <f t="shared" si="194"/>
        <v>38</v>
      </c>
      <c r="K482" s="219">
        <f t="shared" si="194"/>
        <v>38</v>
      </c>
      <c r="L482" s="219">
        <f t="shared" si="194"/>
        <v>38</v>
      </c>
      <c r="M482" s="219">
        <f t="shared" si="194"/>
        <v>38</v>
      </c>
      <c r="N482" s="219">
        <f t="shared" si="194"/>
        <v>38</v>
      </c>
      <c r="O482" s="219">
        <f t="shared" si="194"/>
        <v>38</v>
      </c>
      <c r="P482" s="219">
        <f t="shared" si="194"/>
        <v>38</v>
      </c>
      <c r="Q482" s="219">
        <f t="shared" si="194"/>
        <v>38</v>
      </c>
      <c r="R482" s="219">
        <f t="shared" si="194"/>
        <v>38</v>
      </c>
      <c r="S482" s="219">
        <f t="shared" si="194"/>
        <v>38</v>
      </c>
      <c r="T482" s="219">
        <f t="shared" si="194"/>
        <v>38</v>
      </c>
      <c r="U482" s="219">
        <f t="shared" si="194"/>
        <v>38</v>
      </c>
      <c r="V482" s="219">
        <f t="shared" si="194"/>
        <v>38</v>
      </c>
      <c r="W482" s="219">
        <f t="shared" si="194"/>
        <v>38</v>
      </c>
      <c r="X482" s="219">
        <f t="shared" si="194"/>
        <v>38</v>
      </c>
      <c r="Y482" s="219">
        <f t="shared" si="194"/>
        <v>38</v>
      </c>
      <c r="Z482" s="219">
        <f t="shared" si="194"/>
        <v>38</v>
      </c>
      <c r="AA482" s="219">
        <f t="shared" si="194"/>
        <v>38</v>
      </c>
      <c r="AB482" s="219">
        <f t="shared" si="194"/>
        <v>38</v>
      </c>
      <c r="AC482" s="219">
        <f t="shared" si="194"/>
        <v>38</v>
      </c>
      <c r="AD482" s="219">
        <f t="shared" si="194"/>
        <v>38</v>
      </c>
    </row>
    <row r="483" spans="1:30" s="62" customFormat="1" outlineLevel="1">
      <c r="A483" s="214" t="s">
        <v>170</v>
      </c>
      <c r="B483" s="214" t="s">
        <v>326</v>
      </c>
      <c r="C483" s="42"/>
      <c r="D483" s="288">
        <v>0.12</v>
      </c>
      <c r="E483" s="288">
        <f t="shared" si="194"/>
        <v>0.12</v>
      </c>
      <c r="F483" s="288">
        <f t="shared" si="194"/>
        <v>0.12</v>
      </c>
      <c r="G483" s="288">
        <f t="shared" si="194"/>
        <v>0.12</v>
      </c>
      <c r="H483" s="288">
        <f t="shared" si="194"/>
        <v>0.12</v>
      </c>
      <c r="I483" s="288">
        <f t="shared" si="194"/>
        <v>0.12</v>
      </c>
      <c r="J483" s="288">
        <f t="shared" si="194"/>
        <v>0.12</v>
      </c>
      <c r="K483" s="288">
        <f t="shared" si="194"/>
        <v>0.12</v>
      </c>
      <c r="L483" s="288">
        <f t="shared" si="194"/>
        <v>0.12</v>
      </c>
      <c r="M483" s="288">
        <f t="shared" si="194"/>
        <v>0.12</v>
      </c>
      <c r="N483" s="288">
        <f t="shared" si="194"/>
        <v>0.12</v>
      </c>
      <c r="O483" s="288">
        <f t="shared" si="194"/>
        <v>0.12</v>
      </c>
      <c r="P483" s="288">
        <f t="shared" si="194"/>
        <v>0.12</v>
      </c>
      <c r="Q483" s="288">
        <f t="shared" si="194"/>
        <v>0.12</v>
      </c>
      <c r="R483" s="288">
        <f t="shared" si="194"/>
        <v>0.12</v>
      </c>
      <c r="S483" s="288">
        <f t="shared" si="194"/>
        <v>0.12</v>
      </c>
      <c r="T483" s="288">
        <f t="shared" si="194"/>
        <v>0.12</v>
      </c>
      <c r="U483" s="288">
        <f t="shared" si="194"/>
        <v>0.12</v>
      </c>
      <c r="V483" s="288">
        <f t="shared" si="194"/>
        <v>0.12</v>
      </c>
      <c r="W483" s="288">
        <f t="shared" si="194"/>
        <v>0.12</v>
      </c>
      <c r="X483" s="288">
        <f t="shared" si="194"/>
        <v>0.12</v>
      </c>
      <c r="Y483" s="288">
        <f t="shared" si="194"/>
        <v>0.12</v>
      </c>
      <c r="Z483" s="288">
        <f t="shared" si="194"/>
        <v>0.12</v>
      </c>
      <c r="AA483" s="288">
        <f t="shared" si="194"/>
        <v>0.12</v>
      </c>
      <c r="AB483" s="288">
        <f t="shared" si="194"/>
        <v>0.12</v>
      </c>
      <c r="AC483" s="288">
        <f t="shared" si="194"/>
        <v>0.12</v>
      </c>
      <c r="AD483" s="288">
        <f t="shared" si="194"/>
        <v>0.12</v>
      </c>
    </row>
    <row r="484" spans="1:30" s="62" customFormat="1" outlineLevel="1">
      <c r="A484" s="45" t="s">
        <v>315</v>
      </c>
      <c r="B484" s="13" t="s">
        <v>305</v>
      </c>
      <c r="C484" s="42"/>
      <c r="D484" s="57">
        <f t="shared" ref="D484:AD484" si="195">D482*D483</f>
        <v>4.5599999999999996</v>
      </c>
      <c r="E484" s="57">
        <f t="shared" si="195"/>
        <v>4.5599999999999996</v>
      </c>
      <c r="F484" s="57">
        <f t="shared" si="195"/>
        <v>4.5599999999999996</v>
      </c>
      <c r="G484" s="57">
        <f t="shared" si="195"/>
        <v>4.5599999999999996</v>
      </c>
      <c r="H484" s="57">
        <f t="shared" si="195"/>
        <v>4.5599999999999996</v>
      </c>
      <c r="I484" s="57">
        <f t="shared" si="195"/>
        <v>4.5599999999999996</v>
      </c>
      <c r="J484" s="57">
        <f t="shared" si="195"/>
        <v>4.5599999999999996</v>
      </c>
      <c r="K484" s="57">
        <f t="shared" si="195"/>
        <v>4.5599999999999996</v>
      </c>
      <c r="L484" s="57">
        <f t="shared" si="195"/>
        <v>4.5599999999999996</v>
      </c>
      <c r="M484" s="57">
        <f t="shared" si="195"/>
        <v>4.5599999999999996</v>
      </c>
      <c r="N484" s="57">
        <f t="shared" si="195"/>
        <v>4.5599999999999996</v>
      </c>
      <c r="O484" s="57">
        <f t="shared" si="195"/>
        <v>4.5599999999999996</v>
      </c>
      <c r="P484" s="57">
        <f t="shared" si="195"/>
        <v>4.5599999999999996</v>
      </c>
      <c r="Q484" s="57">
        <f t="shared" si="195"/>
        <v>4.5599999999999996</v>
      </c>
      <c r="R484" s="57">
        <f t="shared" si="195"/>
        <v>4.5599999999999996</v>
      </c>
      <c r="S484" s="57">
        <f t="shared" si="195"/>
        <v>4.5599999999999996</v>
      </c>
      <c r="T484" s="57">
        <f t="shared" si="195"/>
        <v>4.5599999999999996</v>
      </c>
      <c r="U484" s="57">
        <f t="shared" si="195"/>
        <v>4.5599999999999996</v>
      </c>
      <c r="V484" s="57">
        <f t="shared" si="195"/>
        <v>4.5599999999999996</v>
      </c>
      <c r="W484" s="57">
        <f t="shared" si="195"/>
        <v>4.5599999999999996</v>
      </c>
      <c r="X484" s="57">
        <f t="shared" si="195"/>
        <v>4.5599999999999996</v>
      </c>
      <c r="Y484" s="57">
        <f t="shared" si="195"/>
        <v>4.5599999999999996</v>
      </c>
      <c r="Z484" s="57">
        <f t="shared" si="195"/>
        <v>4.5599999999999996</v>
      </c>
      <c r="AA484" s="57">
        <f t="shared" si="195"/>
        <v>4.5599999999999996</v>
      </c>
      <c r="AB484" s="57">
        <f t="shared" si="195"/>
        <v>4.5599999999999996</v>
      </c>
      <c r="AC484" s="57">
        <f t="shared" si="195"/>
        <v>4.5599999999999996</v>
      </c>
      <c r="AD484" s="57">
        <f t="shared" si="195"/>
        <v>4.5599999999999996</v>
      </c>
    </row>
    <row r="485" spans="1:30" s="62" customFormat="1" outlineLevel="1">
      <c r="A485" s="45"/>
      <c r="B485" s="13"/>
      <c r="C485" s="44"/>
      <c r="D485" s="57"/>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row>
    <row r="486" spans="1:30" s="62" customFormat="1" ht="15.5" outlineLevel="1">
      <c r="A486" s="145" t="s">
        <v>328</v>
      </c>
      <c r="B486" s="114"/>
      <c r="C486" s="40"/>
      <c r="D486" s="115"/>
      <c r="E486" s="115"/>
      <c r="F486" s="115"/>
      <c r="G486" s="115"/>
      <c r="H486" s="115"/>
      <c r="I486" s="115"/>
      <c r="J486" s="115"/>
      <c r="K486" s="115"/>
      <c r="L486" s="115"/>
      <c r="M486" s="115"/>
      <c r="N486" s="115"/>
      <c r="O486" s="115"/>
      <c r="P486" s="115"/>
      <c r="Q486" s="115"/>
      <c r="R486" s="115"/>
      <c r="S486" s="115"/>
      <c r="T486" s="115"/>
      <c r="U486" s="115"/>
      <c r="V486" s="115"/>
      <c r="W486" s="115"/>
      <c r="X486" s="115"/>
      <c r="Y486" s="115"/>
      <c r="Z486" s="115"/>
      <c r="AA486" s="115"/>
      <c r="AB486" s="115"/>
      <c r="AC486" s="115"/>
      <c r="AD486" s="115"/>
    </row>
    <row r="487" spans="1:30" s="62" customFormat="1" outlineLevel="1">
      <c r="A487" s="214" t="s">
        <v>325</v>
      </c>
      <c r="B487" s="214" t="s">
        <v>305</v>
      </c>
      <c r="C487" s="42"/>
      <c r="D487" s="288">
        <v>2</v>
      </c>
      <c r="E487" s="288">
        <f t="shared" ref="E487:AD487" si="196">D487</f>
        <v>2</v>
      </c>
      <c r="F487" s="288">
        <f t="shared" si="196"/>
        <v>2</v>
      </c>
      <c r="G487" s="288">
        <f t="shared" si="196"/>
        <v>2</v>
      </c>
      <c r="H487" s="288">
        <f t="shared" si="196"/>
        <v>2</v>
      </c>
      <c r="I487" s="288">
        <f t="shared" si="196"/>
        <v>2</v>
      </c>
      <c r="J487" s="288">
        <f t="shared" si="196"/>
        <v>2</v>
      </c>
      <c r="K487" s="288">
        <f t="shared" si="196"/>
        <v>2</v>
      </c>
      <c r="L487" s="288">
        <f t="shared" si="196"/>
        <v>2</v>
      </c>
      <c r="M487" s="288">
        <f t="shared" si="196"/>
        <v>2</v>
      </c>
      <c r="N487" s="288">
        <f t="shared" si="196"/>
        <v>2</v>
      </c>
      <c r="O487" s="288">
        <f t="shared" si="196"/>
        <v>2</v>
      </c>
      <c r="P487" s="288">
        <f t="shared" si="196"/>
        <v>2</v>
      </c>
      <c r="Q487" s="288">
        <f t="shared" si="196"/>
        <v>2</v>
      </c>
      <c r="R487" s="288">
        <f t="shared" si="196"/>
        <v>2</v>
      </c>
      <c r="S487" s="288">
        <f t="shared" si="196"/>
        <v>2</v>
      </c>
      <c r="T487" s="288">
        <f t="shared" si="196"/>
        <v>2</v>
      </c>
      <c r="U487" s="288">
        <f t="shared" si="196"/>
        <v>2</v>
      </c>
      <c r="V487" s="288">
        <f t="shared" si="196"/>
        <v>2</v>
      </c>
      <c r="W487" s="288">
        <f t="shared" si="196"/>
        <v>2</v>
      </c>
      <c r="X487" s="288">
        <f t="shared" si="196"/>
        <v>2</v>
      </c>
      <c r="Y487" s="288">
        <f t="shared" si="196"/>
        <v>2</v>
      </c>
      <c r="Z487" s="288">
        <f t="shared" si="196"/>
        <v>2</v>
      </c>
      <c r="AA487" s="288">
        <f t="shared" si="196"/>
        <v>2</v>
      </c>
      <c r="AB487" s="288">
        <f t="shared" si="196"/>
        <v>2</v>
      </c>
      <c r="AC487" s="288">
        <f t="shared" si="196"/>
        <v>2</v>
      </c>
      <c r="AD487" s="288">
        <f t="shared" si="196"/>
        <v>2</v>
      </c>
    </row>
    <row r="488" spans="1:30" s="62" customFormat="1" outlineLevel="1">
      <c r="A488" s="45"/>
      <c r="B488" s="13"/>
      <c r="C488" s="44"/>
      <c r="D488" s="57"/>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row>
    <row r="489" spans="1:30" s="62" customFormat="1" ht="15.5" outlineLevel="1">
      <c r="A489" s="145" t="s">
        <v>314</v>
      </c>
      <c r="B489" s="114"/>
      <c r="C489" s="40"/>
      <c r="D489" s="115"/>
      <c r="E489" s="115"/>
      <c r="F489" s="115"/>
      <c r="G489" s="61"/>
      <c r="H489" s="61"/>
      <c r="I489" s="61"/>
      <c r="J489" s="61"/>
      <c r="K489" s="61"/>
      <c r="L489" s="61"/>
      <c r="M489" s="61"/>
      <c r="N489" s="61"/>
      <c r="O489" s="61"/>
      <c r="P489" s="61"/>
      <c r="Q489" s="61"/>
      <c r="R489" s="61"/>
      <c r="S489" s="61"/>
      <c r="T489" s="61"/>
      <c r="U489" s="61"/>
      <c r="V489" s="61"/>
      <c r="W489" s="61"/>
      <c r="X489" s="61"/>
      <c r="Y489" s="61"/>
      <c r="Z489" s="61"/>
      <c r="AA489" s="61"/>
      <c r="AB489" s="61"/>
      <c r="AC489" s="61"/>
      <c r="AD489" s="61"/>
    </row>
    <row r="490" spans="1:30" s="62" customFormat="1" outlineLevel="1">
      <c r="A490" s="214" t="s">
        <v>314</v>
      </c>
      <c r="B490" s="214" t="s">
        <v>305</v>
      </c>
      <c r="C490" s="40"/>
      <c r="D490" s="288">
        <v>1.3</v>
      </c>
      <c r="E490" s="288">
        <f t="shared" ref="E490:AD490" si="197">D490</f>
        <v>1.3</v>
      </c>
      <c r="F490" s="288">
        <f t="shared" si="197"/>
        <v>1.3</v>
      </c>
      <c r="G490" s="288">
        <f t="shared" si="197"/>
        <v>1.3</v>
      </c>
      <c r="H490" s="288">
        <f t="shared" si="197"/>
        <v>1.3</v>
      </c>
      <c r="I490" s="288">
        <f t="shared" si="197"/>
        <v>1.3</v>
      </c>
      <c r="J490" s="288">
        <f t="shared" si="197"/>
        <v>1.3</v>
      </c>
      <c r="K490" s="288">
        <f t="shared" si="197"/>
        <v>1.3</v>
      </c>
      <c r="L490" s="288">
        <f t="shared" si="197"/>
        <v>1.3</v>
      </c>
      <c r="M490" s="288">
        <f t="shared" si="197"/>
        <v>1.3</v>
      </c>
      <c r="N490" s="288">
        <f t="shared" si="197"/>
        <v>1.3</v>
      </c>
      <c r="O490" s="288">
        <f t="shared" si="197"/>
        <v>1.3</v>
      </c>
      <c r="P490" s="288">
        <f t="shared" si="197"/>
        <v>1.3</v>
      </c>
      <c r="Q490" s="288">
        <f t="shared" si="197"/>
        <v>1.3</v>
      </c>
      <c r="R490" s="288">
        <f t="shared" si="197"/>
        <v>1.3</v>
      </c>
      <c r="S490" s="288">
        <f t="shared" si="197"/>
        <v>1.3</v>
      </c>
      <c r="T490" s="288">
        <f t="shared" si="197"/>
        <v>1.3</v>
      </c>
      <c r="U490" s="288">
        <f t="shared" si="197"/>
        <v>1.3</v>
      </c>
      <c r="V490" s="288">
        <f t="shared" si="197"/>
        <v>1.3</v>
      </c>
      <c r="W490" s="288">
        <f t="shared" si="197"/>
        <v>1.3</v>
      </c>
      <c r="X490" s="288">
        <f t="shared" si="197"/>
        <v>1.3</v>
      </c>
      <c r="Y490" s="288">
        <f t="shared" si="197"/>
        <v>1.3</v>
      </c>
      <c r="Z490" s="288">
        <f t="shared" si="197"/>
        <v>1.3</v>
      </c>
      <c r="AA490" s="288">
        <f t="shared" si="197"/>
        <v>1.3</v>
      </c>
      <c r="AB490" s="288">
        <f t="shared" si="197"/>
        <v>1.3</v>
      </c>
      <c r="AC490" s="288">
        <f t="shared" si="197"/>
        <v>1.3</v>
      </c>
      <c r="AD490" s="288">
        <f t="shared" si="197"/>
        <v>1.3</v>
      </c>
    </row>
    <row r="491" spans="1:30" s="62" customFormat="1" outlineLevel="1">
      <c r="A491" s="45"/>
      <c r="B491" s="13"/>
      <c r="C491" s="40"/>
      <c r="D491" s="57"/>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row>
    <row r="492" spans="1:30" s="62" customFormat="1" outlineLevel="1">
      <c r="A492" s="45" t="s">
        <v>369</v>
      </c>
      <c r="B492" s="13" t="s">
        <v>327</v>
      </c>
      <c r="C492" s="40"/>
      <c r="D492" s="57">
        <f t="shared" ref="D492:AD492" si="198">D479+D484+D487+D490</f>
        <v>11.458</v>
      </c>
      <c r="E492" s="57">
        <f t="shared" si="198"/>
        <v>11.458</v>
      </c>
      <c r="F492" s="57">
        <f t="shared" si="198"/>
        <v>11.458</v>
      </c>
      <c r="G492" s="57">
        <f t="shared" si="198"/>
        <v>11.458</v>
      </c>
      <c r="H492" s="57">
        <f t="shared" si="198"/>
        <v>11.458</v>
      </c>
      <c r="I492" s="57">
        <f t="shared" si="198"/>
        <v>11.458</v>
      </c>
      <c r="J492" s="57">
        <f t="shared" si="198"/>
        <v>11.458</v>
      </c>
      <c r="K492" s="57">
        <f t="shared" si="198"/>
        <v>11.458</v>
      </c>
      <c r="L492" s="57">
        <f t="shared" si="198"/>
        <v>11.458</v>
      </c>
      <c r="M492" s="57">
        <f t="shared" si="198"/>
        <v>11.458</v>
      </c>
      <c r="N492" s="57">
        <f t="shared" si="198"/>
        <v>11.458</v>
      </c>
      <c r="O492" s="57">
        <f t="shared" si="198"/>
        <v>11.458</v>
      </c>
      <c r="P492" s="57">
        <f t="shared" si="198"/>
        <v>11.458</v>
      </c>
      <c r="Q492" s="57">
        <f t="shared" si="198"/>
        <v>11.458</v>
      </c>
      <c r="R492" s="57">
        <f t="shared" si="198"/>
        <v>11.458</v>
      </c>
      <c r="S492" s="57">
        <f t="shared" si="198"/>
        <v>11.458</v>
      </c>
      <c r="T492" s="57">
        <f t="shared" si="198"/>
        <v>11.458</v>
      </c>
      <c r="U492" s="57">
        <f t="shared" si="198"/>
        <v>11.458</v>
      </c>
      <c r="V492" s="57">
        <f t="shared" si="198"/>
        <v>11.458</v>
      </c>
      <c r="W492" s="57">
        <f t="shared" si="198"/>
        <v>11.458</v>
      </c>
      <c r="X492" s="57">
        <f t="shared" si="198"/>
        <v>11.458</v>
      </c>
      <c r="Y492" s="57">
        <f t="shared" si="198"/>
        <v>11.458</v>
      </c>
      <c r="Z492" s="57">
        <f t="shared" si="198"/>
        <v>11.458</v>
      </c>
      <c r="AA492" s="57">
        <f t="shared" si="198"/>
        <v>11.458</v>
      </c>
      <c r="AB492" s="57">
        <f t="shared" si="198"/>
        <v>11.458</v>
      </c>
      <c r="AC492" s="57">
        <f t="shared" si="198"/>
        <v>11.458</v>
      </c>
      <c r="AD492" s="57">
        <f t="shared" si="198"/>
        <v>11.458</v>
      </c>
    </row>
    <row r="493" spans="1:30" s="62" customFormat="1" outlineLevel="1">
      <c r="A493" s="45"/>
      <c r="B493" s="45"/>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c r="AA493" s="56"/>
      <c r="AB493" s="56"/>
      <c r="AC493" s="56"/>
      <c r="AD493" s="56"/>
    </row>
    <row r="494" spans="1:30" s="62" customFormat="1" outlineLevel="1">
      <c r="A494" s="45" t="s">
        <v>330</v>
      </c>
      <c r="B494" s="13" t="s">
        <v>284</v>
      </c>
      <c r="C494" s="42">
        <f>SUM(D494:AD494)</f>
        <v>1352.0440000000001</v>
      </c>
      <c r="D494" s="70">
        <f t="shared" ref="D494:AD494" si="199">D465*D492</f>
        <v>0</v>
      </c>
      <c r="E494" s="70">
        <f t="shared" si="199"/>
        <v>0</v>
      </c>
      <c r="F494" s="70">
        <f t="shared" si="199"/>
        <v>58.171384615384611</v>
      </c>
      <c r="G494" s="70">
        <f t="shared" si="199"/>
        <v>91.664000000000001</v>
      </c>
      <c r="H494" s="70">
        <f t="shared" si="199"/>
        <v>91.664000000000001</v>
      </c>
      <c r="I494" s="70">
        <f t="shared" si="199"/>
        <v>91.664000000000001</v>
      </c>
      <c r="J494" s="70">
        <f t="shared" si="199"/>
        <v>95.630230769230778</v>
      </c>
      <c r="K494" s="70">
        <f t="shared" si="199"/>
        <v>87.697769230769225</v>
      </c>
      <c r="L494" s="70">
        <f t="shared" si="199"/>
        <v>91.664000000000001</v>
      </c>
      <c r="M494" s="70">
        <f t="shared" si="199"/>
        <v>91.664000000000001</v>
      </c>
      <c r="N494" s="70">
        <f t="shared" si="199"/>
        <v>91.664000000000001</v>
      </c>
      <c r="O494" s="70">
        <f t="shared" si="199"/>
        <v>91.664000000000001</v>
      </c>
      <c r="P494" s="70">
        <f t="shared" si="199"/>
        <v>91.664000000000001</v>
      </c>
      <c r="Q494" s="70">
        <f t="shared" si="199"/>
        <v>91.664000000000001</v>
      </c>
      <c r="R494" s="70">
        <f t="shared" si="199"/>
        <v>91.664000000000001</v>
      </c>
      <c r="S494" s="70">
        <f t="shared" si="199"/>
        <v>91.664000000000001</v>
      </c>
      <c r="T494" s="70">
        <f t="shared" si="199"/>
        <v>102.2406153846154</v>
      </c>
      <c r="U494" s="70">
        <f t="shared" si="199"/>
        <v>0</v>
      </c>
      <c r="V494" s="70">
        <f t="shared" si="199"/>
        <v>0</v>
      </c>
      <c r="W494" s="70">
        <f t="shared" si="199"/>
        <v>0</v>
      </c>
      <c r="X494" s="70">
        <f t="shared" si="199"/>
        <v>0</v>
      </c>
      <c r="Y494" s="70">
        <f t="shared" si="199"/>
        <v>0</v>
      </c>
      <c r="Z494" s="70">
        <f t="shared" si="199"/>
        <v>0</v>
      </c>
      <c r="AA494" s="70">
        <f t="shared" si="199"/>
        <v>0</v>
      </c>
      <c r="AB494" s="70">
        <f t="shared" si="199"/>
        <v>0</v>
      </c>
      <c r="AC494" s="70">
        <f t="shared" si="199"/>
        <v>0</v>
      </c>
      <c r="AD494" s="70">
        <f t="shared" si="199"/>
        <v>0</v>
      </c>
    </row>
    <row r="495" spans="1:30" s="62" customFormat="1" outlineLevel="1">
      <c r="A495" s="95"/>
      <c r="B495" s="96"/>
      <c r="C495" s="94"/>
      <c r="D495" s="44"/>
      <c r="E495" s="44"/>
      <c r="F495" s="44"/>
      <c r="G495" s="61"/>
      <c r="H495" s="61"/>
      <c r="I495" s="61"/>
      <c r="J495" s="61"/>
      <c r="K495" s="61"/>
      <c r="L495" s="61"/>
      <c r="M495" s="61"/>
      <c r="N495" s="61"/>
      <c r="O495" s="61"/>
      <c r="P495" s="61"/>
      <c r="Q495" s="61"/>
      <c r="R495" s="61"/>
      <c r="S495" s="61"/>
      <c r="T495" s="61"/>
      <c r="U495" s="61"/>
      <c r="V495" s="61"/>
      <c r="W495" s="61"/>
      <c r="X495" s="61"/>
      <c r="Y495" s="61"/>
      <c r="Z495" s="61"/>
      <c r="AA495" s="61"/>
      <c r="AB495" s="61"/>
      <c r="AC495" s="61"/>
      <c r="AD495" s="61"/>
    </row>
    <row r="496" spans="1:30" s="62" customFormat="1" ht="15.5" outlineLevel="1">
      <c r="A496" s="97" t="s">
        <v>331</v>
      </c>
      <c r="B496" s="8"/>
      <c r="C496" s="290"/>
      <c r="D496" s="4"/>
      <c r="E496" s="4"/>
      <c r="F496" s="4"/>
      <c r="G496" s="61"/>
      <c r="H496" s="61"/>
      <c r="I496" s="61"/>
      <c r="J496" s="61"/>
      <c r="K496" s="61"/>
      <c r="L496" s="61"/>
      <c r="M496" s="61"/>
      <c r="N496" s="61"/>
      <c r="O496" s="61"/>
      <c r="P496" s="61"/>
      <c r="Q496" s="61"/>
      <c r="R496" s="61"/>
      <c r="S496" s="61"/>
      <c r="T496" s="61"/>
      <c r="U496" s="61"/>
      <c r="V496" s="61"/>
      <c r="W496" s="61"/>
      <c r="X496" s="61"/>
      <c r="Y496" s="61"/>
      <c r="Z496" s="61"/>
      <c r="AA496" s="61"/>
      <c r="AB496" s="61"/>
      <c r="AC496" s="61"/>
      <c r="AD496" s="61"/>
    </row>
    <row r="497" spans="1:30" s="62" customFormat="1" outlineLevel="1">
      <c r="A497" s="13" t="s">
        <v>560</v>
      </c>
      <c r="B497" s="60"/>
      <c r="C497" s="42"/>
      <c r="D497" s="61"/>
      <c r="E497" s="61"/>
      <c r="F497" s="61"/>
      <c r="G497" s="61"/>
      <c r="H497" s="61"/>
      <c r="I497" s="61"/>
      <c r="J497" s="61"/>
      <c r="K497" s="61"/>
      <c r="L497" s="61"/>
      <c r="M497" s="61"/>
      <c r="N497" s="61"/>
      <c r="O497" s="61"/>
      <c r="P497" s="61"/>
      <c r="Q497" s="61"/>
      <c r="R497" s="61"/>
      <c r="S497" s="61"/>
      <c r="T497" s="61"/>
      <c r="U497" s="61"/>
      <c r="V497" s="61"/>
      <c r="W497" s="61"/>
      <c r="X497" s="61"/>
      <c r="Y497" s="61"/>
      <c r="Z497" s="61"/>
      <c r="AA497" s="61"/>
      <c r="AB497" s="61"/>
      <c r="AC497" s="61"/>
      <c r="AD497" s="61"/>
    </row>
    <row r="498" spans="1:30" s="62" customFormat="1" outlineLevel="1">
      <c r="A498" s="214" t="s">
        <v>318</v>
      </c>
      <c r="B498" s="214" t="s">
        <v>126</v>
      </c>
      <c r="C498" s="42"/>
      <c r="D498" s="219">
        <v>42</v>
      </c>
      <c r="E498" s="219">
        <f t="shared" ref="E498:AD500" si="200">D498</f>
        <v>42</v>
      </c>
      <c r="F498" s="219">
        <f t="shared" si="200"/>
        <v>42</v>
      </c>
      <c r="G498" s="219">
        <f t="shared" si="200"/>
        <v>42</v>
      </c>
      <c r="H498" s="219">
        <f t="shared" si="200"/>
        <v>42</v>
      </c>
      <c r="I498" s="219">
        <f t="shared" si="200"/>
        <v>42</v>
      </c>
      <c r="J498" s="219">
        <f t="shared" si="200"/>
        <v>42</v>
      </c>
      <c r="K498" s="219">
        <f t="shared" si="200"/>
        <v>42</v>
      </c>
      <c r="L498" s="219">
        <f t="shared" si="200"/>
        <v>42</v>
      </c>
      <c r="M498" s="219">
        <f t="shared" si="200"/>
        <v>42</v>
      </c>
      <c r="N498" s="219">
        <f t="shared" si="200"/>
        <v>42</v>
      </c>
      <c r="O498" s="219">
        <f t="shared" si="200"/>
        <v>42</v>
      </c>
      <c r="P498" s="219">
        <f t="shared" si="200"/>
        <v>42</v>
      </c>
      <c r="Q498" s="219">
        <f t="shared" si="200"/>
        <v>42</v>
      </c>
      <c r="R498" s="219">
        <f t="shared" si="200"/>
        <v>42</v>
      </c>
      <c r="S498" s="219">
        <f t="shared" si="200"/>
        <v>42</v>
      </c>
      <c r="T498" s="219">
        <f t="shared" si="200"/>
        <v>42</v>
      </c>
      <c r="U498" s="219">
        <f t="shared" si="200"/>
        <v>42</v>
      </c>
      <c r="V498" s="219">
        <f t="shared" si="200"/>
        <v>42</v>
      </c>
      <c r="W498" s="219">
        <f t="shared" si="200"/>
        <v>42</v>
      </c>
      <c r="X498" s="219">
        <f t="shared" si="200"/>
        <v>42</v>
      </c>
      <c r="Y498" s="219">
        <f t="shared" si="200"/>
        <v>42</v>
      </c>
      <c r="Z498" s="219">
        <f t="shared" si="200"/>
        <v>42</v>
      </c>
      <c r="AA498" s="219">
        <f t="shared" si="200"/>
        <v>42</v>
      </c>
      <c r="AB498" s="219">
        <f t="shared" si="200"/>
        <v>42</v>
      </c>
      <c r="AC498" s="219">
        <f t="shared" si="200"/>
        <v>42</v>
      </c>
      <c r="AD498" s="219">
        <f t="shared" si="200"/>
        <v>42</v>
      </c>
    </row>
    <row r="499" spans="1:30" s="62" customFormat="1" outlineLevel="1">
      <c r="A499" s="214" t="s">
        <v>319</v>
      </c>
      <c r="B499" s="214" t="s">
        <v>126</v>
      </c>
      <c r="C499" s="42"/>
      <c r="D499" s="219">
        <v>21</v>
      </c>
      <c r="E499" s="219">
        <f t="shared" si="200"/>
        <v>21</v>
      </c>
      <c r="F499" s="219">
        <f t="shared" si="200"/>
        <v>21</v>
      </c>
      <c r="G499" s="219">
        <f t="shared" si="200"/>
        <v>21</v>
      </c>
      <c r="H499" s="219">
        <f t="shared" si="200"/>
        <v>21</v>
      </c>
      <c r="I499" s="219">
        <f t="shared" si="200"/>
        <v>21</v>
      </c>
      <c r="J499" s="219">
        <f t="shared" si="200"/>
        <v>21</v>
      </c>
      <c r="K499" s="219">
        <f t="shared" si="200"/>
        <v>21</v>
      </c>
      <c r="L499" s="219">
        <f t="shared" si="200"/>
        <v>21</v>
      </c>
      <c r="M499" s="219">
        <f t="shared" si="200"/>
        <v>21</v>
      </c>
      <c r="N499" s="219">
        <f t="shared" si="200"/>
        <v>21</v>
      </c>
      <c r="O499" s="219">
        <f t="shared" si="200"/>
        <v>21</v>
      </c>
      <c r="P499" s="219">
        <f t="shared" si="200"/>
        <v>21</v>
      </c>
      <c r="Q499" s="219">
        <f t="shared" si="200"/>
        <v>21</v>
      </c>
      <c r="R499" s="219">
        <f t="shared" si="200"/>
        <v>21</v>
      </c>
      <c r="S499" s="219">
        <f t="shared" si="200"/>
        <v>21</v>
      </c>
      <c r="T499" s="219">
        <f t="shared" si="200"/>
        <v>21</v>
      </c>
      <c r="U499" s="219">
        <f t="shared" si="200"/>
        <v>21</v>
      </c>
      <c r="V499" s="219">
        <f t="shared" si="200"/>
        <v>21</v>
      </c>
      <c r="W499" s="219">
        <f t="shared" si="200"/>
        <v>21</v>
      </c>
      <c r="X499" s="219">
        <f t="shared" si="200"/>
        <v>21</v>
      </c>
      <c r="Y499" s="219">
        <f t="shared" si="200"/>
        <v>21</v>
      </c>
      <c r="Z499" s="219">
        <f t="shared" si="200"/>
        <v>21</v>
      </c>
      <c r="AA499" s="219">
        <f t="shared" si="200"/>
        <v>21</v>
      </c>
      <c r="AB499" s="219">
        <f t="shared" si="200"/>
        <v>21</v>
      </c>
      <c r="AC499" s="219">
        <f t="shared" si="200"/>
        <v>21</v>
      </c>
      <c r="AD499" s="219">
        <f t="shared" si="200"/>
        <v>21</v>
      </c>
    </row>
    <row r="500" spans="1:30" s="62" customFormat="1" outlineLevel="1">
      <c r="A500" s="214" t="s">
        <v>320</v>
      </c>
      <c r="B500" s="214" t="s">
        <v>126</v>
      </c>
      <c r="C500" s="42"/>
      <c r="D500" s="219">
        <v>9</v>
      </c>
      <c r="E500" s="219">
        <f t="shared" si="200"/>
        <v>9</v>
      </c>
      <c r="F500" s="219">
        <f t="shared" si="200"/>
        <v>9</v>
      </c>
      <c r="G500" s="219">
        <f t="shared" si="200"/>
        <v>9</v>
      </c>
      <c r="H500" s="219">
        <f t="shared" si="200"/>
        <v>9</v>
      </c>
      <c r="I500" s="219">
        <f t="shared" si="200"/>
        <v>9</v>
      </c>
      <c r="J500" s="219">
        <f t="shared" si="200"/>
        <v>9</v>
      </c>
      <c r="K500" s="219">
        <f t="shared" si="200"/>
        <v>9</v>
      </c>
      <c r="L500" s="219">
        <f t="shared" si="200"/>
        <v>9</v>
      </c>
      <c r="M500" s="219">
        <f t="shared" si="200"/>
        <v>9</v>
      </c>
      <c r="N500" s="219">
        <f t="shared" si="200"/>
        <v>9</v>
      </c>
      <c r="O500" s="219">
        <f t="shared" si="200"/>
        <v>9</v>
      </c>
      <c r="P500" s="219">
        <f t="shared" si="200"/>
        <v>9</v>
      </c>
      <c r="Q500" s="219">
        <f t="shared" si="200"/>
        <v>9</v>
      </c>
      <c r="R500" s="219">
        <f t="shared" si="200"/>
        <v>9</v>
      </c>
      <c r="S500" s="219">
        <f t="shared" si="200"/>
        <v>9</v>
      </c>
      <c r="T500" s="219">
        <f t="shared" si="200"/>
        <v>9</v>
      </c>
      <c r="U500" s="219">
        <f t="shared" si="200"/>
        <v>9</v>
      </c>
      <c r="V500" s="219">
        <f t="shared" si="200"/>
        <v>9</v>
      </c>
      <c r="W500" s="219">
        <f t="shared" si="200"/>
        <v>9</v>
      </c>
      <c r="X500" s="219">
        <f t="shared" si="200"/>
        <v>9</v>
      </c>
      <c r="Y500" s="219">
        <f t="shared" si="200"/>
        <v>9</v>
      </c>
      <c r="Z500" s="219">
        <f t="shared" si="200"/>
        <v>9</v>
      </c>
      <c r="AA500" s="219">
        <f t="shared" si="200"/>
        <v>9</v>
      </c>
      <c r="AB500" s="219">
        <f t="shared" si="200"/>
        <v>9</v>
      </c>
      <c r="AC500" s="219">
        <f t="shared" si="200"/>
        <v>9</v>
      </c>
      <c r="AD500" s="219">
        <f t="shared" si="200"/>
        <v>9</v>
      </c>
    </row>
    <row r="501" spans="1:30" s="62" customFormat="1" outlineLevel="1">
      <c r="A501" s="45" t="s">
        <v>321</v>
      </c>
      <c r="B501" s="13" t="s">
        <v>126</v>
      </c>
      <c r="C501" s="44"/>
      <c r="D501" s="42">
        <f t="shared" ref="D501:AD501" si="201">SUM(D498:D500)</f>
        <v>72</v>
      </c>
      <c r="E501" s="42">
        <f t="shared" si="201"/>
        <v>72</v>
      </c>
      <c r="F501" s="42">
        <f t="shared" si="201"/>
        <v>72</v>
      </c>
      <c r="G501" s="42">
        <f t="shared" si="201"/>
        <v>72</v>
      </c>
      <c r="H501" s="42">
        <f t="shared" si="201"/>
        <v>72</v>
      </c>
      <c r="I501" s="42">
        <f t="shared" si="201"/>
        <v>72</v>
      </c>
      <c r="J501" s="42">
        <f t="shared" si="201"/>
        <v>72</v>
      </c>
      <c r="K501" s="42">
        <f t="shared" si="201"/>
        <v>72</v>
      </c>
      <c r="L501" s="42">
        <f t="shared" si="201"/>
        <v>72</v>
      </c>
      <c r="M501" s="42">
        <f t="shared" si="201"/>
        <v>72</v>
      </c>
      <c r="N501" s="42">
        <f t="shared" si="201"/>
        <v>72</v>
      </c>
      <c r="O501" s="42">
        <f t="shared" si="201"/>
        <v>72</v>
      </c>
      <c r="P501" s="42">
        <f t="shared" si="201"/>
        <v>72</v>
      </c>
      <c r="Q501" s="42">
        <f t="shared" si="201"/>
        <v>72</v>
      </c>
      <c r="R501" s="42">
        <f t="shared" si="201"/>
        <v>72</v>
      </c>
      <c r="S501" s="42">
        <f t="shared" si="201"/>
        <v>72</v>
      </c>
      <c r="T501" s="42">
        <f t="shared" si="201"/>
        <v>72</v>
      </c>
      <c r="U501" s="42">
        <f t="shared" si="201"/>
        <v>72</v>
      </c>
      <c r="V501" s="42">
        <f t="shared" si="201"/>
        <v>72</v>
      </c>
      <c r="W501" s="42">
        <f t="shared" si="201"/>
        <v>72</v>
      </c>
      <c r="X501" s="42">
        <f t="shared" si="201"/>
        <v>72</v>
      </c>
      <c r="Y501" s="42">
        <f t="shared" si="201"/>
        <v>72</v>
      </c>
      <c r="Z501" s="42">
        <f t="shared" si="201"/>
        <v>72</v>
      </c>
      <c r="AA501" s="42">
        <f t="shared" si="201"/>
        <v>72</v>
      </c>
      <c r="AB501" s="42">
        <f t="shared" si="201"/>
        <v>72</v>
      </c>
      <c r="AC501" s="42">
        <f t="shared" si="201"/>
        <v>72</v>
      </c>
      <c r="AD501" s="42">
        <f t="shared" si="201"/>
        <v>72</v>
      </c>
    </row>
    <row r="502" spans="1:30" s="62" customFormat="1" outlineLevel="1">
      <c r="A502" s="214" t="s">
        <v>454</v>
      </c>
      <c r="B502" s="214" t="s">
        <v>332</v>
      </c>
      <c r="C502" s="42"/>
      <c r="D502" s="219">
        <v>160</v>
      </c>
      <c r="E502" s="219">
        <f t="shared" ref="E502:AD502" si="202">D502</f>
        <v>160</v>
      </c>
      <c r="F502" s="219">
        <f t="shared" si="202"/>
        <v>160</v>
      </c>
      <c r="G502" s="219">
        <f t="shared" si="202"/>
        <v>160</v>
      </c>
      <c r="H502" s="219">
        <f t="shared" si="202"/>
        <v>160</v>
      </c>
      <c r="I502" s="219">
        <f t="shared" si="202"/>
        <v>160</v>
      </c>
      <c r="J502" s="219">
        <f t="shared" si="202"/>
        <v>160</v>
      </c>
      <c r="K502" s="219">
        <f t="shared" si="202"/>
        <v>160</v>
      </c>
      <c r="L502" s="219">
        <f t="shared" si="202"/>
        <v>160</v>
      </c>
      <c r="M502" s="219">
        <f t="shared" si="202"/>
        <v>160</v>
      </c>
      <c r="N502" s="219">
        <f t="shared" si="202"/>
        <v>160</v>
      </c>
      <c r="O502" s="219">
        <f t="shared" si="202"/>
        <v>160</v>
      </c>
      <c r="P502" s="219">
        <f t="shared" si="202"/>
        <v>160</v>
      </c>
      <c r="Q502" s="219">
        <f t="shared" si="202"/>
        <v>160</v>
      </c>
      <c r="R502" s="219">
        <f t="shared" si="202"/>
        <v>160</v>
      </c>
      <c r="S502" s="219">
        <f t="shared" si="202"/>
        <v>160</v>
      </c>
      <c r="T502" s="219">
        <f t="shared" si="202"/>
        <v>160</v>
      </c>
      <c r="U502" s="219">
        <f t="shared" si="202"/>
        <v>160</v>
      </c>
      <c r="V502" s="219">
        <f t="shared" si="202"/>
        <v>160</v>
      </c>
      <c r="W502" s="219">
        <f t="shared" si="202"/>
        <v>160</v>
      </c>
      <c r="X502" s="219">
        <f t="shared" si="202"/>
        <v>160</v>
      </c>
      <c r="Y502" s="219">
        <f t="shared" si="202"/>
        <v>160</v>
      </c>
      <c r="Z502" s="219">
        <f t="shared" si="202"/>
        <v>160</v>
      </c>
      <c r="AA502" s="219">
        <f t="shared" si="202"/>
        <v>160</v>
      </c>
      <c r="AB502" s="219">
        <f t="shared" si="202"/>
        <v>160</v>
      </c>
      <c r="AC502" s="219">
        <f t="shared" si="202"/>
        <v>160</v>
      </c>
      <c r="AD502" s="219">
        <f t="shared" si="202"/>
        <v>160</v>
      </c>
    </row>
    <row r="503" spans="1:30" s="62" customFormat="1" outlineLevel="1">
      <c r="A503" s="45" t="str">
        <f>A501</f>
        <v>labour - processing</v>
      </c>
      <c r="B503" s="13" t="s">
        <v>284</v>
      </c>
      <c r="C503" s="42">
        <f>SUM(D503:AD503)</f>
        <v>311.04000000000002</v>
      </c>
      <c r="D503" s="42">
        <f t="shared" ref="D503:AD503" si="203">D501*D502/1000</f>
        <v>11.52</v>
      </c>
      <c r="E503" s="42">
        <f t="shared" si="203"/>
        <v>11.52</v>
      </c>
      <c r="F503" s="42">
        <f t="shared" si="203"/>
        <v>11.52</v>
      </c>
      <c r="G503" s="42">
        <f t="shared" si="203"/>
        <v>11.52</v>
      </c>
      <c r="H503" s="42">
        <f t="shared" si="203"/>
        <v>11.52</v>
      </c>
      <c r="I503" s="42">
        <f t="shared" si="203"/>
        <v>11.52</v>
      </c>
      <c r="J503" s="42">
        <f t="shared" si="203"/>
        <v>11.52</v>
      </c>
      <c r="K503" s="42">
        <f t="shared" si="203"/>
        <v>11.52</v>
      </c>
      <c r="L503" s="42">
        <f t="shared" si="203"/>
        <v>11.52</v>
      </c>
      <c r="M503" s="42">
        <f t="shared" si="203"/>
        <v>11.52</v>
      </c>
      <c r="N503" s="42">
        <f t="shared" si="203"/>
        <v>11.52</v>
      </c>
      <c r="O503" s="42">
        <f t="shared" si="203"/>
        <v>11.52</v>
      </c>
      <c r="P503" s="42">
        <f t="shared" si="203"/>
        <v>11.52</v>
      </c>
      <c r="Q503" s="42">
        <f t="shared" si="203"/>
        <v>11.52</v>
      </c>
      <c r="R503" s="42">
        <f t="shared" si="203"/>
        <v>11.52</v>
      </c>
      <c r="S503" s="42">
        <f t="shared" si="203"/>
        <v>11.52</v>
      </c>
      <c r="T503" s="42">
        <f t="shared" si="203"/>
        <v>11.52</v>
      </c>
      <c r="U503" s="42">
        <f t="shared" si="203"/>
        <v>11.52</v>
      </c>
      <c r="V503" s="42">
        <f t="shared" si="203"/>
        <v>11.52</v>
      </c>
      <c r="W503" s="42">
        <f t="shared" si="203"/>
        <v>11.52</v>
      </c>
      <c r="X503" s="42">
        <f t="shared" si="203"/>
        <v>11.52</v>
      </c>
      <c r="Y503" s="42">
        <f t="shared" si="203"/>
        <v>11.52</v>
      </c>
      <c r="Z503" s="42">
        <f t="shared" si="203"/>
        <v>11.52</v>
      </c>
      <c r="AA503" s="42">
        <f t="shared" si="203"/>
        <v>11.52</v>
      </c>
      <c r="AB503" s="42">
        <f t="shared" si="203"/>
        <v>11.52</v>
      </c>
      <c r="AC503" s="42">
        <f t="shared" si="203"/>
        <v>11.52</v>
      </c>
      <c r="AD503" s="42">
        <f t="shared" si="203"/>
        <v>11.52</v>
      </c>
    </row>
    <row r="504" spans="1:30" s="62" customFormat="1" outlineLevel="1">
      <c r="A504" s="45"/>
      <c r="B504" s="13"/>
      <c r="C504" s="42"/>
      <c r="D504" s="42"/>
      <c r="E504" s="42"/>
      <c r="F504" s="42"/>
      <c r="G504" s="42"/>
      <c r="H504" s="42"/>
      <c r="I504" s="42"/>
      <c r="J504" s="42"/>
      <c r="K504" s="42"/>
      <c r="L504" s="42"/>
      <c r="M504" s="42"/>
      <c r="N504" s="42"/>
      <c r="O504" s="42"/>
      <c r="P504" s="42"/>
      <c r="Q504" s="42"/>
      <c r="R504" s="42"/>
      <c r="S504" s="42"/>
      <c r="T504" s="42"/>
      <c r="U504" s="42"/>
      <c r="V504" s="42"/>
      <c r="W504" s="42"/>
      <c r="X504" s="42"/>
      <c r="Y504" s="42"/>
      <c r="Z504" s="42"/>
      <c r="AA504" s="42"/>
      <c r="AB504" s="42"/>
      <c r="AC504" s="42"/>
      <c r="AD504" s="42"/>
    </row>
    <row r="505" spans="1:30" s="62" customFormat="1" outlineLevel="1">
      <c r="A505" s="214" t="s">
        <v>333</v>
      </c>
      <c r="B505" s="214" t="s">
        <v>285</v>
      </c>
      <c r="C505" s="42"/>
      <c r="D505" s="219">
        <v>5</v>
      </c>
      <c r="E505" s="219">
        <f t="shared" ref="E505:AD505" si="204">D505</f>
        <v>5</v>
      </c>
      <c r="F505" s="219">
        <f t="shared" si="204"/>
        <v>5</v>
      </c>
      <c r="G505" s="219">
        <f t="shared" si="204"/>
        <v>5</v>
      </c>
      <c r="H505" s="219">
        <f t="shared" si="204"/>
        <v>5</v>
      </c>
      <c r="I505" s="219">
        <f t="shared" si="204"/>
        <v>5</v>
      </c>
      <c r="J505" s="219">
        <f t="shared" si="204"/>
        <v>5</v>
      </c>
      <c r="K505" s="219">
        <f t="shared" si="204"/>
        <v>5</v>
      </c>
      <c r="L505" s="219">
        <f t="shared" si="204"/>
        <v>5</v>
      </c>
      <c r="M505" s="219">
        <f t="shared" si="204"/>
        <v>5</v>
      </c>
      <c r="N505" s="219">
        <f t="shared" si="204"/>
        <v>5</v>
      </c>
      <c r="O505" s="219">
        <f t="shared" si="204"/>
        <v>5</v>
      </c>
      <c r="P505" s="219">
        <f t="shared" si="204"/>
        <v>5</v>
      </c>
      <c r="Q505" s="219">
        <f t="shared" si="204"/>
        <v>5</v>
      </c>
      <c r="R505" s="219">
        <f t="shared" si="204"/>
        <v>5</v>
      </c>
      <c r="S505" s="219">
        <f t="shared" si="204"/>
        <v>5</v>
      </c>
      <c r="T505" s="219">
        <f t="shared" si="204"/>
        <v>5</v>
      </c>
      <c r="U505" s="219">
        <f t="shared" si="204"/>
        <v>5</v>
      </c>
      <c r="V505" s="219">
        <f t="shared" si="204"/>
        <v>5</v>
      </c>
      <c r="W505" s="219">
        <f t="shared" si="204"/>
        <v>5</v>
      </c>
      <c r="X505" s="219">
        <f t="shared" si="204"/>
        <v>5</v>
      </c>
      <c r="Y505" s="219">
        <f t="shared" si="204"/>
        <v>5</v>
      </c>
      <c r="Z505" s="219">
        <f t="shared" si="204"/>
        <v>5</v>
      </c>
      <c r="AA505" s="219">
        <f t="shared" si="204"/>
        <v>5</v>
      </c>
      <c r="AB505" s="219">
        <f t="shared" si="204"/>
        <v>5</v>
      </c>
      <c r="AC505" s="219">
        <f t="shared" si="204"/>
        <v>5</v>
      </c>
      <c r="AD505" s="219">
        <f t="shared" si="204"/>
        <v>5</v>
      </c>
    </row>
    <row r="506" spans="1:30" s="62" customFormat="1" outlineLevel="1">
      <c r="A506" s="45"/>
      <c r="B506" s="13"/>
      <c r="C506" s="42"/>
      <c r="D506" s="42"/>
      <c r="E506" s="42"/>
      <c r="F506" s="42"/>
      <c r="G506" s="42"/>
      <c r="H506" s="42"/>
      <c r="I506" s="42"/>
      <c r="J506" s="42"/>
      <c r="K506" s="42"/>
      <c r="L506" s="42"/>
      <c r="M506" s="42"/>
      <c r="N506" s="42"/>
      <c r="O506" s="42"/>
      <c r="P506" s="42"/>
      <c r="Q506" s="42"/>
      <c r="R506" s="42"/>
      <c r="S506" s="42"/>
      <c r="T506" s="42"/>
      <c r="U506" s="42"/>
      <c r="V506" s="42"/>
      <c r="W506" s="42"/>
      <c r="X506" s="42"/>
      <c r="Y506" s="42"/>
      <c r="Z506" s="42"/>
      <c r="AA506" s="42"/>
      <c r="AB506" s="42"/>
      <c r="AC506" s="42"/>
      <c r="AD506" s="42"/>
    </row>
    <row r="507" spans="1:30" s="62" customFormat="1" outlineLevel="1">
      <c r="A507" s="45" t="s">
        <v>331</v>
      </c>
      <c r="B507" s="13" t="s">
        <v>284</v>
      </c>
      <c r="C507" s="42">
        <f>SUM(D507:AD507)</f>
        <v>247.80000000000007</v>
      </c>
      <c r="D507" s="70">
        <f t="shared" ref="D507:AD507" si="205">IF(D465=0,0,D503+D505)</f>
        <v>0</v>
      </c>
      <c r="E507" s="70">
        <f t="shared" si="205"/>
        <v>0</v>
      </c>
      <c r="F507" s="70">
        <f t="shared" si="205"/>
        <v>16.52</v>
      </c>
      <c r="G507" s="70">
        <f t="shared" si="205"/>
        <v>16.52</v>
      </c>
      <c r="H507" s="70">
        <f t="shared" si="205"/>
        <v>16.52</v>
      </c>
      <c r="I507" s="70">
        <f t="shared" si="205"/>
        <v>16.52</v>
      </c>
      <c r="J507" s="70">
        <f t="shared" si="205"/>
        <v>16.52</v>
      </c>
      <c r="K507" s="70">
        <f t="shared" si="205"/>
        <v>16.52</v>
      </c>
      <c r="L507" s="70">
        <f t="shared" si="205"/>
        <v>16.52</v>
      </c>
      <c r="M507" s="70">
        <f t="shared" si="205"/>
        <v>16.52</v>
      </c>
      <c r="N507" s="70">
        <f t="shared" si="205"/>
        <v>16.52</v>
      </c>
      <c r="O507" s="70">
        <f t="shared" si="205"/>
        <v>16.52</v>
      </c>
      <c r="P507" s="70">
        <f t="shared" si="205"/>
        <v>16.52</v>
      </c>
      <c r="Q507" s="70">
        <f t="shared" si="205"/>
        <v>16.52</v>
      </c>
      <c r="R507" s="70">
        <f t="shared" si="205"/>
        <v>16.52</v>
      </c>
      <c r="S507" s="70">
        <f t="shared" si="205"/>
        <v>16.52</v>
      </c>
      <c r="T507" s="70">
        <f t="shared" si="205"/>
        <v>16.52</v>
      </c>
      <c r="U507" s="70">
        <f t="shared" si="205"/>
        <v>0</v>
      </c>
      <c r="V507" s="70">
        <f t="shared" si="205"/>
        <v>0</v>
      </c>
      <c r="W507" s="70">
        <f t="shared" si="205"/>
        <v>0</v>
      </c>
      <c r="X507" s="70">
        <f t="shared" si="205"/>
        <v>0</v>
      </c>
      <c r="Y507" s="70">
        <f t="shared" si="205"/>
        <v>0</v>
      </c>
      <c r="Z507" s="70">
        <f t="shared" si="205"/>
        <v>0</v>
      </c>
      <c r="AA507" s="70">
        <f t="shared" si="205"/>
        <v>0</v>
      </c>
      <c r="AB507" s="70">
        <f t="shared" si="205"/>
        <v>0</v>
      </c>
      <c r="AC507" s="70">
        <f t="shared" si="205"/>
        <v>0</v>
      </c>
      <c r="AD507" s="70">
        <f t="shared" si="205"/>
        <v>0</v>
      </c>
    </row>
    <row r="508" spans="1:30" s="45" customFormat="1" ht="15.65" customHeight="1" outlineLevel="1">
      <c r="A508" s="41"/>
      <c r="C508" s="44"/>
      <c r="D508" s="44"/>
      <c r="E508" s="44"/>
      <c r="F508" s="44"/>
      <c r="G508" s="44"/>
      <c r="H508" s="44"/>
      <c r="I508" s="44"/>
      <c r="J508" s="44"/>
      <c r="K508" s="44"/>
      <c r="L508" s="44"/>
      <c r="M508" s="44"/>
      <c r="N508" s="44"/>
      <c r="O508" s="44"/>
      <c r="P508" s="44"/>
      <c r="Q508" s="44"/>
      <c r="R508" s="44"/>
      <c r="S508" s="44"/>
      <c r="T508" s="44"/>
      <c r="U508" s="44"/>
      <c r="V508" s="44"/>
      <c r="W508" s="44"/>
      <c r="X508" s="44"/>
      <c r="Y508" s="44"/>
      <c r="Z508" s="44"/>
      <c r="AA508" s="44"/>
      <c r="AB508" s="44"/>
      <c r="AC508" s="44"/>
      <c r="AD508" s="44"/>
    </row>
    <row r="509" spans="1:30" s="286" customFormat="1" ht="28.75" customHeight="1" outlineLevel="1">
      <c r="A509" s="127" t="s">
        <v>32</v>
      </c>
      <c r="B509" s="117" t="s">
        <v>284</v>
      </c>
      <c r="C509" s="232">
        <f>SUM(D509:AD509)</f>
        <v>1599.8439999999998</v>
      </c>
      <c r="D509" s="287">
        <f t="shared" ref="D509:AD509" si="206">D494+D507</f>
        <v>0</v>
      </c>
      <c r="E509" s="287">
        <f t="shared" si="206"/>
        <v>0</v>
      </c>
      <c r="F509" s="287">
        <f t="shared" si="206"/>
        <v>74.691384615384607</v>
      </c>
      <c r="G509" s="287">
        <f t="shared" si="206"/>
        <v>108.184</v>
      </c>
      <c r="H509" s="287">
        <f t="shared" si="206"/>
        <v>108.184</v>
      </c>
      <c r="I509" s="287">
        <f t="shared" si="206"/>
        <v>108.184</v>
      </c>
      <c r="J509" s="287">
        <f t="shared" si="206"/>
        <v>112.15023076923077</v>
      </c>
      <c r="K509" s="287">
        <f t="shared" si="206"/>
        <v>104.21776923076922</v>
      </c>
      <c r="L509" s="287">
        <f t="shared" si="206"/>
        <v>108.184</v>
      </c>
      <c r="M509" s="287">
        <f t="shared" si="206"/>
        <v>108.184</v>
      </c>
      <c r="N509" s="287">
        <f t="shared" si="206"/>
        <v>108.184</v>
      </c>
      <c r="O509" s="287">
        <f t="shared" si="206"/>
        <v>108.184</v>
      </c>
      <c r="P509" s="287">
        <f t="shared" si="206"/>
        <v>108.184</v>
      </c>
      <c r="Q509" s="287">
        <f t="shared" si="206"/>
        <v>108.184</v>
      </c>
      <c r="R509" s="287">
        <f t="shared" si="206"/>
        <v>108.184</v>
      </c>
      <c r="S509" s="287">
        <f t="shared" si="206"/>
        <v>108.184</v>
      </c>
      <c r="T509" s="287">
        <f t="shared" si="206"/>
        <v>118.76061538461539</v>
      </c>
      <c r="U509" s="287">
        <f t="shared" si="206"/>
        <v>0</v>
      </c>
      <c r="V509" s="287">
        <f t="shared" si="206"/>
        <v>0</v>
      </c>
      <c r="W509" s="287">
        <f t="shared" si="206"/>
        <v>0</v>
      </c>
      <c r="X509" s="287">
        <f t="shared" si="206"/>
        <v>0</v>
      </c>
      <c r="Y509" s="287">
        <f t="shared" si="206"/>
        <v>0</v>
      </c>
      <c r="Z509" s="287">
        <f t="shared" si="206"/>
        <v>0</v>
      </c>
      <c r="AA509" s="287">
        <f t="shared" si="206"/>
        <v>0</v>
      </c>
      <c r="AB509" s="287">
        <f t="shared" si="206"/>
        <v>0</v>
      </c>
      <c r="AC509" s="287">
        <f t="shared" si="206"/>
        <v>0</v>
      </c>
      <c r="AD509" s="287">
        <f t="shared" si="206"/>
        <v>0</v>
      </c>
    </row>
    <row r="510" spans="1:30" s="45" customFormat="1" outlineLevel="1">
      <c r="A510" s="75" t="str">
        <f>A509&amp;"/tonne milled"</f>
        <v>processing opex/tonne milled</v>
      </c>
      <c r="B510" s="13" t="s">
        <v>303</v>
      </c>
      <c r="C510" s="57">
        <f>IF(C$154=0,0,C509/C$154)</f>
        <v>13.558</v>
      </c>
      <c r="D510" s="75">
        <f t="shared" ref="D510:AD510" si="207">IF(D$154=0,0,D509/D$154)</f>
        <v>0</v>
      </c>
      <c r="E510" s="75">
        <f t="shared" si="207"/>
        <v>0</v>
      </c>
      <c r="F510" s="75">
        <f t="shared" si="207"/>
        <v>14.711939393939392</v>
      </c>
      <c r="G510" s="75">
        <f t="shared" si="207"/>
        <v>13.523</v>
      </c>
      <c r="H510" s="75">
        <f t="shared" si="207"/>
        <v>13.523</v>
      </c>
      <c r="I510" s="75">
        <f t="shared" si="207"/>
        <v>13.523</v>
      </c>
      <c r="J510" s="75">
        <f t="shared" si="207"/>
        <v>13.437354838709677</v>
      </c>
      <c r="K510" s="75">
        <f t="shared" si="207"/>
        <v>13.616391959798994</v>
      </c>
      <c r="L510" s="75">
        <f t="shared" si="207"/>
        <v>13.523</v>
      </c>
      <c r="M510" s="75">
        <f t="shared" si="207"/>
        <v>13.523</v>
      </c>
      <c r="N510" s="75">
        <f t="shared" si="207"/>
        <v>13.523</v>
      </c>
      <c r="O510" s="75">
        <f t="shared" si="207"/>
        <v>13.523</v>
      </c>
      <c r="P510" s="75">
        <f t="shared" si="207"/>
        <v>13.523</v>
      </c>
      <c r="Q510" s="75">
        <f t="shared" si="207"/>
        <v>13.523</v>
      </c>
      <c r="R510" s="75">
        <f t="shared" si="207"/>
        <v>13.523</v>
      </c>
      <c r="S510" s="75">
        <f t="shared" si="207"/>
        <v>13.523</v>
      </c>
      <c r="T510" s="75">
        <f t="shared" si="207"/>
        <v>13.309379310344829</v>
      </c>
      <c r="U510" s="75">
        <f t="shared" si="207"/>
        <v>0</v>
      </c>
      <c r="V510" s="75">
        <f t="shared" si="207"/>
        <v>0</v>
      </c>
      <c r="W510" s="75">
        <f t="shared" si="207"/>
        <v>0</v>
      </c>
      <c r="X510" s="75">
        <f t="shared" si="207"/>
        <v>0</v>
      </c>
      <c r="Y510" s="75">
        <f t="shared" si="207"/>
        <v>0</v>
      </c>
      <c r="Z510" s="75">
        <f t="shared" si="207"/>
        <v>0</v>
      </c>
      <c r="AA510" s="75">
        <f t="shared" si="207"/>
        <v>0</v>
      </c>
      <c r="AB510" s="75">
        <f t="shared" si="207"/>
        <v>0</v>
      </c>
      <c r="AC510" s="75">
        <f t="shared" si="207"/>
        <v>0</v>
      </c>
      <c r="AD510" s="75">
        <f t="shared" si="207"/>
        <v>0</v>
      </c>
    </row>
    <row r="511" spans="1:30" s="45" customFormat="1" outlineLevel="1">
      <c r="B511" s="13"/>
      <c r="C511" s="57"/>
      <c r="D511" s="57"/>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row>
    <row r="512" spans="1:30" s="8" customFormat="1" ht="15.5" outlineLevel="1">
      <c r="A512" s="242" t="str">
        <f>'Expected NPV &amp; Common Data'!A$36</f>
        <v>Calendar Year --&gt;</v>
      </c>
      <c r="B512" s="243" t="str">
        <f>'Expected NPV &amp; Common Data'!B$36</f>
        <v>units</v>
      </c>
      <c r="C512" s="244" t="str">
        <f>'Expected NPV &amp; Common Data'!C$36</f>
        <v>Total</v>
      </c>
      <c r="D512" s="245">
        <f>'Expected NPV &amp; Common Data'!D$36</f>
        <v>2027</v>
      </c>
      <c r="E512" s="245">
        <f>'Expected NPV &amp; Common Data'!E$36</f>
        <v>2028</v>
      </c>
      <c r="F512" s="245">
        <f>'Expected NPV &amp; Common Data'!F$36</f>
        <v>2029</v>
      </c>
      <c r="G512" s="245">
        <f>'Expected NPV &amp; Common Data'!G$36</f>
        <v>2030</v>
      </c>
      <c r="H512" s="245">
        <f>'Expected NPV &amp; Common Data'!H$36</f>
        <v>2031</v>
      </c>
      <c r="I512" s="245">
        <f>'Expected NPV &amp; Common Data'!I$36</f>
        <v>2032</v>
      </c>
      <c r="J512" s="245">
        <f>'Expected NPV &amp; Common Data'!J$36</f>
        <v>2033</v>
      </c>
      <c r="K512" s="245">
        <f>'Expected NPV &amp; Common Data'!K$36</f>
        <v>2034</v>
      </c>
      <c r="L512" s="245">
        <f>'Expected NPV &amp; Common Data'!L$36</f>
        <v>2035</v>
      </c>
      <c r="M512" s="245">
        <f>'Expected NPV &amp; Common Data'!M$36</f>
        <v>2036</v>
      </c>
      <c r="N512" s="245">
        <f>'Expected NPV &amp; Common Data'!N$36</f>
        <v>2037</v>
      </c>
      <c r="O512" s="245">
        <f>'Expected NPV &amp; Common Data'!O$36</f>
        <v>2038</v>
      </c>
      <c r="P512" s="245">
        <f>'Expected NPV &amp; Common Data'!P$36</f>
        <v>2039</v>
      </c>
      <c r="Q512" s="245">
        <f>'Expected NPV &amp; Common Data'!Q$36</f>
        <v>2040</v>
      </c>
      <c r="R512" s="245">
        <f>'Expected NPV &amp; Common Data'!R$36</f>
        <v>2041</v>
      </c>
      <c r="S512" s="245">
        <f>'Expected NPV &amp; Common Data'!S$36</f>
        <v>2042</v>
      </c>
      <c r="T512" s="245">
        <f>'Expected NPV &amp; Common Data'!T$36</f>
        <v>2043</v>
      </c>
      <c r="U512" s="245">
        <f>'Expected NPV &amp; Common Data'!U$36</f>
        <v>2044</v>
      </c>
      <c r="V512" s="245">
        <f>'Expected NPV &amp; Common Data'!V$36</f>
        <v>2045</v>
      </c>
      <c r="W512" s="245">
        <f>'Expected NPV &amp; Common Data'!W$36</f>
        <v>2046</v>
      </c>
      <c r="X512" s="245">
        <f>'Expected NPV &amp; Common Data'!X$36</f>
        <v>2047</v>
      </c>
      <c r="Y512" s="245">
        <f>'Expected NPV &amp; Common Data'!Y$36</f>
        <v>2048</v>
      </c>
      <c r="Z512" s="245">
        <f>'Expected NPV &amp; Common Data'!Z$36</f>
        <v>2049</v>
      </c>
      <c r="AA512" s="245">
        <f>'Expected NPV &amp; Common Data'!AA$36</f>
        <v>2050</v>
      </c>
      <c r="AB512" s="245">
        <f>'Expected NPV &amp; Common Data'!AB$36</f>
        <v>2051</v>
      </c>
      <c r="AC512" s="245">
        <f>'Expected NPV &amp; Common Data'!AC$36</f>
        <v>2052</v>
      </c>
      <c r="AD512" s="245">
        <f>'Expected NPV &amp; Common Data'!AD$36</f>
        <v>2053</v>
      </c>
    </row>
    <row r="513" spans="1:30" ht="54" customHeight="1">
      <c r="A513" s="23" t="s">
        <v>31</v>
      </c>
      <c r="D513" s="15"/>
      <c r="E513" s="15"/>
      <c r="F513" s="15"/>
      <c r="G513" s="15"/>
      <c r="H513" s="15"/>
      <c r="I513" s="15"/>
      <c r="J513" s="15"/>
      <c r="K513" s="15"/>
      <c r="L513" s="15"/>
      <c r="M513" s="15"/>
      <c r="N513" s="15"/>
      <c r="O513" s="15"/>
      <c r="P513" s="15"/>
      <c r="Q513" s="15"/>
      <c r="R513" s="15"/>
      <c r="S513" s="15"/>
      <c r="T513" s="15"/>
      <c r="U513" s="15"/>
      <c r="V513" s="15"/>
      <c r="W513" s="15"/>
      <c r="X513" s="15"/>
      <c r="Y513" s="15"/>
      <c r="Z513" s="15"/>
      <c r="AA513" s="15"/>
      <c r="AB513" s="15"/>
      <c r="AC513" s="15"/>
      <c r="AD513" s="15"/>
    </row>
    <row r="514" spans="1:30" s="116" customFormat="1" ht="23.4" customHeight="1" outlineLevel="1">
      <c r="A514" s="146" t="s">
        <v>342</v>
      </c>
      <c r="B514" s="114"/>
      <c r="C514" s="40"/>
      <c r="D514" s="115"/>
      <c r="E514" s="115"/>
      <c r="F514" s="115"/>
      <c r="G514" s="115"/>
      <c r="H514" s="115"/>
      <c r="I514" s="115"/>
      <c r="J514" s="115"/>
      <c r="K514" s="115"/>
      <c r="L514" s="115"/>
      <c r="M514" s="115"/>
      <c r="N514" s="115"/>
      <c r="O514" s="115"/>
      <c r="P514" s="115"/>
      <c r="Q514" s="115"/>
      <c r="R514" s="115"/>
      <c r="S514" s="115"/>
      <c r="T514" s="115"/>
      <c r="U514" s="115"/>
      <c r="V514" s="115"/>
      <c r="W514" s="115"/>
      <c r="X514" s="115"/>
      <c r="Y514" s="115"/>
      <c r="Z514" s="115"/>
      <c r="AA514" s="115"/>
      <c r="AB514" s="115"/>
      <c r="AC514" s="115"/>
      <c r="AD514" s="115"/>
    </row>
    <row r="515" spans="1:30" outlineLevel="1">
      <c r="A515" s="13" t="s">
        <v>561</v>
      </c>
      <c r="D515" s="15"/>
      <c r="E515" s="15"/>
      <c r="F515" s="15"/>
      <c r="G515" s="15"/>
      <c r="H515" s="15"/>
      <c r="I515" s="15"/>
      <c r="J515" s="15"/>
      <c r="K515" s="15"/>
      <c r="L515" s="15"/>
      <c r="M515" s="15"/>
      <c r="N515" s="15"/>
      <c r="O515" s="15"/>
      <c r="P515" s="15"/>
      <c r="Q515" s="15"/>
      <c r="R515" s="15"/>
      <c r="S515" s="15"/>
      <c r="T515" s="15"/>
      <c r="U515" s="15"/>
      <c r="V515" s="15"/>
      <c r="W515" s="15"/>
      <c r="X515" s="15"/>
      <c r="Y515" s="15"/>
      <c r="Z515" s="15"/>
      <c r="AA515" s="15"/>
      <c r="AB515" s="15"/>
      <c r="AC515" s="15"/>
      <c r="AD515" s="15"/>
    </row>
    <row r="516" spans="1:30" s="62" customFormat="1" ht="14.5" outlineLevel="1">
      <c r="A516" s="291" t="s">
        <v>345</v>
      </c>
      <c r="B516" s="60"/>
      <c r="C516" s="42"/>
      <c r="D516" s="61"/>
      <c r="E516" s="61"/>
      <c r="F516" s="61"/>
      <c r="G516" s="61"/>
      <c r="H516" s="61"/>
      <c r="I516" s="61"/>
      <c r="J516" s="61"/>
      <c r="K516" s="61"/>
      <c r="L516" s="61"/>
      <c r="M516" s="61"/>
      <c r="N516" s="61"/>
      <c r="O516" s="61"/>
      <c r="P516" s="61"/>
      <c r="Q516" s="61"/>
      <c r="R516" s="61"/>
      <c r="S516" s="61"/>
      <c r="T516" s="61"/>
      <c r="U516" s="61"/>
      <c r="V516" s="61"/>
      <c r="W516" s="61"/>
      <c r="X516" s="61"/>
      <c r="Y516" s="61"/>
      <c r="Z516" s="61"/>
      <c r="AA516" s="61"/>
      <c r="AB516" s="61"/>
      <c r="AC516" s="61"/>
      <c r="AD516" s="61"/>
    </row>
    <row r="517" spans="1:30" outlineLevel="1">
      <c r="A517" s="214" t="s">
        <v>173</v>
      </c>
      <c r="B517" s="214" t="s">
        <v>126</v>
      </c>
      <c r="C517" s="42"/>
      <c r="D517" s="219">
        <v>33</v>
      </c>
      <c r="E517" s="219">
        <f t="shared" ref="E517:AD518" si="208">D517</f>
        <v>33</v>
      </c>
      <c r="F517" s="219">
        <f t="shared" si="208"/>
        <v>33</v>
      </c>
      <c r="G517" s="219">
        <f t="shared" si="208"/>
        <v>33</v>
      </c>
      <c r="H517" s="219">
        <f t="shared" si="208"/>
        <v>33</v>
      </c>
      <c r="I517" s="219">
        <f t="shared" si="208"/>
        <v>33</v>
      </c>
      <c r="J517" s="219">
        <f t="shared" si="208"/>
        <v>33</v>
      </c>
      <c r="K517" s="219">
        <f t="shared" si="208"/>
        <v>33</v>
      </c>
      <c r="L517" s="219">
        <f t="shared" si="208"/>
        <v>33</v>
      </c>
      <c r="M517" s="219">
        <f t="shared" si="208"/>
        <v>33</v>
      </c>
      <c r="N517" s="219">
        <f t="shared" si="208"/>
        <v>33</v>
      </c>
      <c r="O517" s="219">
        <f t="shared" si="208"/>
        <v>33</v>
      </c>
      <c r="P517" s="219">
        <f t="shared" si="208"/>
        <v>33</v>
      </c>
      <c r="Q517" s="219">
        <f t="shared" si="208"/>
        <v>33</v>
      </c>
      <c r="R517" s="219">
        <f t="shared" si="208"/>
        <v>33</v>
      </c>
      <c r="S517" s="219">
        <f t="shared" si="208"/>
        <v>33</v>
      </c>
      <c r="T517" s="219">
        <f t="shared" si="208"/>
        <v>33</v>
      </c>
      <c r="U517" s="219">
        <f t="shared" si="208"/>
        <v>33</v>
      </c>
      <c r="V517" s="219">
        <f t="shared" si="208"/>
        <v>33</v>
      </c>
      <c r="W517" s="219">
        <f t="shared" si="208"/>
        <v>33</v>
      </c>
      <c r="X517" s="219">
        <f t="shared" si="208"/>
        <v>33</v>
      </c>
      <c r="Y517" s="219">
        <f t="shared" si="208"/>
        <v>33</v>
      </c>
      <c r="Z517" s="219">
        <f t="shared" si="208"/>
        <v>33</v>
      </c>
      <c r="AA517" s="219">
        <f t="shared" si="208"/>
        <v>33</v>
      </c>
      <c r="AB517" s="219">
        <f t="shared" si="208"/>
        <v>33</v>
      </c>
      <c r="AC517" s="219">
        <f t="shared" si="208"/>
        <v>33</v>
      </c>
      <c r="AD517" s="219">
        <f t="shared" si="208"/>
        <v>33</v>
      </c>
    </row>
    <row r="518" spans="1:30" outlineLevel="1">
      <c r="A518" s="214" t="s">
        <v>175</v>
      </c>
      <c r="B518" s="214" t="s">
        <v>334</v>
      </c>
      <c r="C518" s="42"/>
      <c r="D518" s="219">
        <v>135</v>
      </c>
      <c r="E518" s="219">
        <f t="shared" si="208"/>
        <v>135</v>
      </c>
      <c r="F518" s="219">
        <f t="shared" si="208"/>
        <v>135</v>
      </c>
      <c r="G518" s="219">
        <f t="shared" si="208"/>
        <v>135</v>
      </c>
      <c r="H518" s="219">
        <f t="shared" si="208"/>
        <v>135</v>
      </c>
      <c r="I518" s="219">
        <f t="shared" si="208"/>
        <v>135</v>
      </c>
      <c r="J518" s="219">
        <f t="shared" si="208"/>
        <v>135</v>
      </c>
      <c r="K518" s="219">
        <f t="shared" si="208"/>
        <v>135</v>
      </c>
      <c r="L518" s="219">
        <f t="shared" si="208"/>
        <v>135</v>
      </c>
      <c r="M518" s="219">
        <f t="shared" si="208"/>
        <v>135</v>
      </c>
      <c r="N518" s="219">
        <f t="shared" si="208"/>
        <v>135</v>
      </c>
      <c r="O518" s="219">
        <f t="shared" si="208"/>
        <v>135</v>
      </c>
      <c r="P518" s="219">
        <f t="shared" si="208"/>
        <v>135</v>
      </c>
      <c r="Q518" s="219">
        <f t="shared" si="208"/>
        <v>135</v>
      </c>
      <c r="R518" s="219">
        <f t="shared" si="208"/>
        <v>135</v>
      </c>
      <c r="S518" s="219">
        <f t="shared" si="208"/>
        <v>135</v>
      </c>
      <c r="T518" s="219">
        <f t="shared" si="208"/>
        <v>135</v>
      </c>
      <c r="U518" s="219">
        <f t="shared" si="208"/>
        <v>135</v>
      </c>
      <c r="V518" s="219">
        <f t="shared" si="208"/>
        <v>135</v>
      </c>
      <c r="W518" s="219">
        <f t="shared" si="208"/>
        <v>135</v>
      </c>
      <c r="X518" s="219">
        <f t="shared" si="208"/>
        <v>135</v>
      </c>
      <c r="Y518" s="219">
        <f t="shared" si="208"/>
        <v>135</v>
      </c>
      <c r="Z518" s="219">
        <f t="shared" si="208"/>
        <v>135</v>
      </c>
      <c r="AA518" s="219">
        <f t="shared" si="208"/>
        <v>135</v>
      </c>
      <c r="AB518" s="219">
        <f t="shared" si="208"/>
        <v>135</v>
      </c>
      <c r="AC518" s="219">
        <f t="shared" si="208"/>
        <v>135</v>
      </c>
      <c r="AD518" s="219">
        <f t="shared" si="208"/>
        <v>135</v>
      </c>
    </row>
    <row r="519" spans="1:30" s="45" customFormat="1" outlineLevel="1">
      <c r="A519" s="45" t="str">
        <f>A516</f>
        <v>Labour - Management &amp; Overheads</v>
      </c>
      <c r="B519" s="13" t="s">
        <v>284</v>
      </c>
      <c r="C519" s="42">
        <f>SUM(D519:AD519)</f>
        <v>120.28499999999997</v>
      </c>
      <c r="D519" s="56">
        <f t="shared" ref="D519:AD519" si="209">D517*D518/1000</f>
        <v>4.4550000000000001</v>
      </c>
      <c r="E519" s="56">
        <f t="shared" si="209"/>
        <v>4.4550000000000001</v>
      </c>
      <c r="F519" s="56">
        <f t="shared" si="209"/>
        <v>4.4550000000000001</v>
      </c>
      <c r="G519" s="56">
        <f t="shared" si="209"/>
        <v>4.4550000000000001</v>
      </c>
      <c r="H519" s="56">
        <f t="shared" si="209"/>
        <v>4.4550000000000001</v>
      </c>
      <c r="I519" s="56">
        <f t="shared" si="209"/>
        <v>4.4550000000000001</v>
      </c>
      <c r="J519" s="56">
        <f t="shared" si="209"/>
        <v>4.4550000000000001</v>
      </c>
      <c r="K519" s="56">
        <f t="shared" si="209"/>
        <v>4.4550000000000001</v>
      </c>
      <c r="L519" s="56">
        <f t="shared" si="209"/>
        <v>4.4550000000000001</v>
      </c>
      <c r="M519" s="56">
        <f t="shared" si="209"/>
        <v>4.4550000000000001</v>
      </c>
      <c r="N519" s="56">
        <f t="shared" si="209"/>
        <v>4.4550000000000001</v>
      </c>
      <c r="O519" s="56">
        <f t="shared" si="209"/>
        <v>4.4550000000000001</v>
      </c>
      <c r="P519" s="56">
        <f t="shared" si="209"/>
        <v>4.4550000000000001</v>
      </c>
      <c r="Q519" s="56">
        <f t="shared" si="209"/>
        <v>4.4550000000000001</v>
      </c>
      <c r="R519" s="56">
        <f t="shared" si="209"/>
        <v>4.4550000000000001</v>
      </c>
      <c r="S519" s="56">
        <f t="shared" si="209"/>
        <v>4.4550000000000001</v>
      </c>
      <c r="T519" s="56">
        <f t="shared" si="209"/>
        <v>4.4550000000000001</v>
      </c>
      <c r="U519" s="56">
        <f t="shared" si="209"/>
        <v>4.4550000000000001</v>
      </c>
      <c r="V519" s="56">
        <f t="shared" si="209"/>
        <v>4.4550000000000001</v>
      </c>
      <c r="W519" s="56">
        <f t="shared" si="209"/>
        <v>4.4550000000000001</v>
      </c>
      <c r="X519" s="56">
        <f t="shared" si="209"/>
        <v>4.4550000000000001</v>
      </c>
      <c r="Y519" s="56">
        <f t="shared" si="209"/>
        <v>4.4550000000000001</v>
      </c>
      <c r="Z519" s="56">
        <f t="shared" si="209"/>
        <v>4.4550000000000001</v>
      </c>
      <c r="AA519" s="56">
        <f t="shared" si="209"/>
        <v>4.4550000000000001</v>
      </c>
      <c r="AB519" s="56">
        <f t="shared" si="209"/>
        <v>4.4550000000000001</v>
      </c>
      <c r="AC519" s="56">
        <f t="shared" si="209"/>
        <v>4.4550000000000001</v>
      </c>
      <c r="AD519" s="56">
        <f t="shared" si="209"/>
        <v>4.4550000000000001</v>
      </c>
    </row>
    <row r="520" spans="1:30" s="62" customFormat="1" ht="14.5" outlineLevel="1">
      <c r="A520" s="291" t="s">
        <v>370</v>
      </c>
      <c r="B520" s="60"/>
      <c r="C520" s="42"/>
      <c r="D520" s="61"/>
      <c r="E520" s="61"/>
      <c r="F520" s="61"/>
      <c r="G520" s="61"/>
      <c r="H520" s="61"/>
      <c r="I520" s="61"/>
      <c r="J520" s="61"/>
      <c r="K520" s="61"/>
      <c r="L520" s="61"/>
      <c r="M520" s="61"/>
      <c r="N520" s="61"/>
      <c r="O520" s="61"/>
      <c r="P520" s="61"/>
      <c r="Q520" s="61"/>
      <c r="R520" s="61"/>
      <c r="S520" s="61"/>
      <c r="T520" s="61"/>
      <c r="U520" s="61"/>
      <c r="V520" s="61"/>
      <c r="W520" s="61"/>
      <c r="X520" s="61"/>
      <c r="Y520" s="61"/>
      <c r="Z520" s="61"/>
      <c r="AA520" s="61"/>
      <c r="AB520" s="61"/>
      <c r="AC520" s="61"/>
      <c r="AD520" s="61"/>
    </row>
    <row r="521" spans="1:30" outlineLevel="1">
      <c r="A521" s="214" t="s">
        <v>176</v>
      </c>
      <c r="B521" s="214" t="s">
        <v>126</v>
      </c>
      <c r="C521" s="42"/>
      <c r="D521" s="219">
        <v>12</v>
      </c>
      <c r="E521" s="219">
        <f t="shared" ref="E521:AD522" si="210">D521</f>
        <v>12</v>
      </c>
      <c r="F521" s="219">
        <f t="shared" si="210"/>
        <v>12</v>
      </c>
      <c r="G521" s="219">
        <f t="shared" si="210"/>
        <v>12</v>
      </c>
      <c r="H521" s="219">
        <f t="shared" si="210"/>
        <v>12</v>
      </c>
      <c r="I521" s="219">
        <f t="shared" si="210"/>
        <v>12</v>
      </c>
      <c r="J521" s="219">
        <f t="shared" si="210"/>
        <v>12</v>
      </c>
      <c r="K521" s="219">
        <f t="shared" si="210"/>
        <v>12</v>
      </c>
      <c r="L521" s="219">
        <f t="shared" si="210"/>
        <v>12</v>
      </c>
      <c r="M521" s="219">
        <f t="shared" si="210"/>
        <v>12</v>
      </c>
      <c r="N521" s="219">
        <f t="shared" si="210"/>
        <v>12</v>
      </c>
      <c r="O521" s="219">
        <f t="shared" si="210"/>
        <v>12</v>
      </c>
      <c r="P521" s="219">
        <f t="shared" si="210"/>
        <v>12</v>
      </c>
      <c r="Q521" s="219">
        <f t="shared" si="210"/>
        <v>12</v>
      </c>
      <c r="R521" s="219">
        <f t="shared" si="210"/>
        <v>12</v>
      </c>
      <c r="S521" s="219">
        <f t="shared" si="210"/>
        <v>12</v>
      </c>
      <c r="T521" s="219">
        <f t="shared" si="210"/>
        <v>12</v>
      </c>
      <c r="U521" s="219">
        <f t="shared" si="210"/>
        <v>12</v>
      </c>
      <c r="V521" s="219">
        <f t="shared" si="210"/>
        <v>12</v>
      </c>
      <c r="W521" s="219">
        <f t="shared" si="210"/>
        <v>12</v>
      </c>
      <c r="X521" s="219">
        <f t="shared" si="210"/>
        <v>12</v>
      </c>
      <c r="Y521" s="219">
        <f t="shared" si="210"/>
        <v>12</v>
      </c>
      <c r="Z521" s="219">
        <f t="shared" si="210"/>
        <v>12</v>
      </c>
      <c r="AA521" s="219">
        <f t="shared" si="210"/>
        <v>12</v>
      </c>
      <c r="AB521" s="219">
        <f t="shared" si="210"/>
        <v>12</v>
      </c>
      <c r="AC521" s="219">
        <f t="shared" si="210"/>
        <v>12</v>
      </c>
      <c r="AD521" s="219">
        <f t="shared" si="210"/>
        <v>12</v>
      </c>
    </row>
    <row r="522" spans="1:30" outlineLevel="1">
      <c r="A522" s="214" t="s">
        <v>177</v>
      </c>
      <c r="B522" s="214" t="s">
        <v>126</v>
      </c>
      <c r="C522" s="42"/>
      <c r="D522" s="219">
        <v>4</v>
      </c>
      <c r="E522" s="219">
        <f t="shared" si="210"/>
        <v>4</v>
      </c>
      <c r="F522" s="219">
        <f t="shared" si="210"/>
        <v>4</v>
      </c>
      <c r="G522" s="219">
        <f t="shared" si="210"/>
        <v>4</v>
      </c>
      <c r="H522" s="219">
        <f t="shared" si="210"/>
        <v>4</v>
      </c>
      <c r="I522" s="219">
        <f t="shared" si="210"/>
        <v>4</v>
      </c>
      <c r="J522" s="219">
        <f t="shared" si="210"/>
        <v>4</v>
      </c>
      <c r="K522" s="219">
        <f t="shared" si="210"/>
        <v>4</v>
      </c>
      <c r="L522" s="219">
        <f t="shared" si="210"/>
        <v>4</v>
      </c>
      <c r="M522" s="219">
        <f t="shared" si="210"/>
        <v>4</v>
      </c>
      <c r="N522" s="219">
        <f t="shared" si="210"/>
        <v>4</v>
      </c>
      <c r="O522" s="219">
        <f t="shared" si="210"/>
        <v>4</v>
      </c>
      <c r="P522" s="219">
        <f t="shared" si="210"/>
        <v>4</v>
      </c>
      <c r="Q522" s="219">
        <f t="shared" si="210"/>
        <v>4</v>
      </c>
      <c r="R522" s="219">
        <f t="shared" si="210"/>
        <v>4</v>
      </c>
      <c r="S522" s="219">
        <f t="shared" si="210"/>
        <v>4</v>
      </c>
      <c r="T522" s="219">
        <f t="shared" si="210"/>
        <v>4</v>
      </c>
      <c r="U522" s="219">
        <f t="shared" si="210"/>
        <v>4</v>
      </c>
      <c r="V522" s="219">
        <f t="shared" si="210"/>
        <v>4</v>
      </c>
      <c r="W522" s="219">
        <f t="shared" si="210"/>
        <v>4</v>
      </c>
      <c r="X522" s="219">
        <f t="shared" si="210"/>
        <v>4</v>
      </c>
      <c r="Y522" s="219">
        <f t="shared" si="210"/>
        <v>4</v>
      </c>
      <c r="Z522" s="219">
        <f t="shared" si="210"/>
        <v>4</v>
      </c>
      <c r="AA522" s="219">
        <f t="shared" si="210"/>
        <v>4</v>
      </c>
      <c r="AB522" s="219">
        <f t="shared" si="210"/>
        <v>4</v>
      </c>
      <c r="AC522" s="219">
        <f t="shared" si="210"/>
        <v>4</v>
      </c>
      <c r="AD522" s="219">
        <f t="shared" si="210"/>
        <v>4</v>
      </c>
    </row>
    <row r="523" spans="1:30" s="45" customFormat="1" outlineLevel="1">
      <c r="A523" s="45" t="s">
        <v>174</v>
      </c>
      <c r="B523" s="13" t="s">
        <v>126</v>
      </c>
      <c r="C523" s="42"/>
      <c r="D523" s="42">
        <f t="shared" ref="D523:AD523" si="211">SUM(D521:D522)</f>
        <v>16</v>
      </c>
      <c r="E523" s="42">
        <f t="shared" si="211"/>
        <v>16</v>
      </c>
      <c r="F523" s="42">
        <f t="shared" si="211"/>
        <v>16</v>
      </c>
      <c r="G523" s="42">
        <f t="shared" si="211"/>
        <v>16</v>
      </c>
      <c r="H523" s="42">
        <f t="shared" si="211"/>
        <v>16</v>
      </c>
      <c r="I523" s="42">
        <f t="shared" si="211"/>
        <v>16</v>
      </c>
      <c r="J523" s="42">
        <f t="shared" si="211"/>
        <v>16</v>
      </c>
      <c r="K523" s="42">
        <f t="shared" si="211"/>
        <v>16</v>
      </c>
      <c r="L523" s="42">
        <f t="shared" si="211"/>
        <v>16</v>
      </c>
      <c r="M523" s="42">
        <f t="shared" si="211"/>
        <v>16</v>
      </c>
      <c r="N523" s="42">
        <f t="shared" si="211"/>
        <v>16</v>
      </c>
      <c r="O523" s="42">
        <f t="shared" si="211"/>
        <v>16</v>
      </c>
      <c r="P523" s="42">
        <f t="shared" si="211"/>
        <v>16</v>
      </c>
      <c r="Q523" s="42">
        <f t="shared" si="211"/>
        <v>16</v>
      </c>
      <c r="R523" s="42">
        <f t="shared" si="211"/>
        <v>16</v>
      </c>
      <c r="S523" s="42">
        <f t="shared" si="211"/>
        <v>16</v>
      </c>
      <c r="T523" s="42">
        <f t="shared" si="211"/>
        <v>16</v>
      </c>
      <c r="U523" s="42">
        <f t="shared" si="211"/>
        <v>16</v>
      </c>
      <c r="V523" s="42">
        <f t="shared" si="211"/>
        <v>16</v>
      </c>
      <c r="W523" s="42">
        <f t="shared" si="211"/>
        <v>16</v>
      </c>
      <c r="X523" s="42">
        <f t="shared" si="211"/>
        <v>16</v>
      </c>
      <c r="Y523" s="42">
        <f t="shared" si="211"/>
        <v>16</v>
      </c>
      <c r="Z523" s="42">
        <f t="shared" si="211"/>
        <v>16</v>
      </c>
      <c r="AA523" s="42">
        <f t="shared" si="211"/>
        <v>16</v>
      </c>
      <c r="AB523" s="42">
        <f t="shared" si="211"/>
        <v>16</v>
      </c>
      <c r="AC523" s="42">
        <f t="shared" si="211"/>
        <v>16</v>
      </c>
      <c r="AD523" s="42">
        <f t="shared" si="211"/>
        <v>16</v>
      </c>
    </row>
    <row r="524" spans="1:30" outlineLevel="1">
      <c r="A524" s="214" t="s">
        <v>127</v>
      </c>
      <c r="B524" s="214" t="s">
        <v>334</v>
      </c>
      <c r="C524" s="42"/>
      <c r="D524" s="219">
        <v>150</v>
      </c>
      <c r="E524" s="219">
        <f t="shared" ref="E524:AD524" si="212">D524</f>
        <v>150</v>
      </c>
      <c r="F524" s="219">
        <f t="shared" si="212"/>
        <v>150</v>
      </c>
      <c r="G524" s="219">
        <f t="shared" si="212"/>
        <v>150</v>
      </c>
      <c r="H524" s="219">
        <f t="shared" si="212"/>
        <v>150</v>
      </c>
      <c r="I524" s="219">
        <f t="shared" si="212"/>
        <v>150</v>
      </c>
      <c r="J524" s="219">
        <f t="shared" si="212"/>
        <v>150</v>
      </c>
      <c r="K524" s="219">
        <f t="shared" si="212"/>
        <v>150</v>
      </c>
      <c r="L524" s="219">
        <f t="shared" si="212"/>
        <v>150</v>
      </c>
      <c r="M524" s="219">
        <f t="shared" si="212"/>
        <v>150</v>
      </c>
      <c r="N524" s="219">
        <f t="shared" si="212"/>
        <v>150</v>
      </c>
      <c r="O524" s="219">
        <f t="shared" si="212"/>
        <v>150</v>
      </c>
      <c r="P524" s="219">
        <f t="shared" si="212"/>
        <v>150</v>
      </c>
      <c r="Q524" s="219">
        <f t="shared" si="212"/>
        <v>150</v>
      </c>
      <c r="R524" s="219">
        <f t="shared" si="212"/>
        <v>150</v>
      </c>
      <c r="S524" s="219">
        <f t="shared" si="212"/>
        <v>150</v>
      </c>
      <c r="T524" s="219">
        <f t="shared" si="212"/>
        <v>150</v>
      </c>
      <c r="U524" s="219">
        <f t="shared" si="212"/>
        <v>150</v>
      </c>
      <c r="V524" s="219">
        <f t="shared" si="212"/>
        <v>150</v>
      </c>
      <c r="W524" s="219">
        <f t="shared" si="212"/>
        <v>150</v>
      </c>
      <c r="X524" s="219">
        <f t="shared" si="212"/>
        <v>150</v>
      </c>
      <c r="Y524" s="219">
        <f t="shared" si="212"/>
        <v>150</v>
      </c>
      <c r="Z524" s="219">
        <f t="shared" si="212"/>
        <v>150</v>
      </c>
      <c r="AA524" s="219">
        <f t="shared" si="212"/>
        <v>150</v>
      </c>
      <c r="AB524" s="219">
        <f t="shared" si="212"/>
        <v>150</v>
      </c>
      <c r="AC524" s="219">
        <f t="shared" si="212"/>
        <v>150</v>
      </c>
      <c r="AD524" s="219">
        <f t="shared" si="212"/>
        <v>150</v>
      </c>
    </row>
    <row r="525" spans="1:30" s="45" customFormat="1" outlineLevel="1">
      <c r="A525" s="45" t="str">
        <f>A520</f>
        <v>Labour - Logistics &amp; warehouse</v>
      </c>
      <c r="B525" s="13" t="s">
        <v>284</v>
      </c>
      <c r="C525" s="42">
        <f>SUM(D525:AD525)</f>
        <v>64.799999999999983</v>
      </c>
      <c r="D525" s="56">
        <f t="shared" ref="D525:AD525" si="213">D523*D524/1000</f>
        <v>2.4</v>
      </c>
      <c r="E525" s="56">
        <f t="shared" si="213"/>
        <v>2.4</v>
      </c>
      <c r="F525" s="56">
        <f t="shared" si="213"/>
        <v>2.4</v>
      </c>
      <c r="G525" s="56">
        <f t="shared" si="213"/>
        <v>2.4</v>
      </c>
      <c r="H525" s="56">
        <f t="shared" si="213"/>
        <v>2.4</v>
      </c>
      <c r="I525" s="56">
        <f t="shared" si="213"/>
        <v>2.4</v>
      </c>
      <c r="J525" s="56">
        <f t="shared" si="213"/>
        <v>2.4</v>
      </c>
      <c r="K525" s="56">
        <f t="shared" si="213"/>
        <v>2.4</v>
      </c>
      <c r="L525" s="56">
        <f t="shared" si="213"/>
        <v>2.4</v>
      </c>
      <c r="M525" s="56">
        <f t="shared" si="213"/>
        <v>2.4</v>
      </c>
      <c r="N525" s="56">
        <f t="shared" si="213"/>
        <v>2.4</v>
      </c>
      <c r="O525" s="56">
        <f t="shared" si="213"/>
        <v>2.4</v>
      </c>
      <c r="P525" s="56">
        <f t="shared" si="213"/>
        <v>2.4</v>
      </c>
      <c r="Q525" s="56">
        <f t="shared" si="213"/>
        <v>2.4</v>
      </c>
      <c r="R525" s="56">
        <f t="shared" si="213"/>
        <v>2.4</v>
      </c>
      <c r="S525" s="56">
        <f t="shared" si="213"/>
        <v>2.4</v>
      </c>
      <c r="T525" s="56">
        <f t="shared" si="213"/>
        <v>2.4</v>
      </c>
      <c r="U525" s="56">
        <f t="shared" si="213"/>
        <v>2.4</v>
      </c>
      <c r="V525" s="56">
        <f t="shared" si="213"/>
        <v>2.4</v>
      </c>
      <c r="W525" s="56">
        <f t="shared" si="213"/>
        <v>2.4</v>
      </c>
      <c r="X525" s="56">
        <f t="shared" si="213"/>
        <v>2.4</v>
      </c>
      <c r="Y525" s="56">
        <f t="shared" si="213"/>
        <v>2.4</v>
      </c>
      <c r="Z525" s="56">
        <f t="shared" si="213"/>
        <v>2.4</v>
      </c>
      <c r="AA525" s="56">
        <f t="shared" si="213"/>
        <v>2.4</v>
      </c>
      <c r="AB525" s="56">
        <f t="shared" si="213"/>
        <v>2.4</v>
      </c>
      <c r="AC525" s="56">
        <f t="shared" si="213"/>
        <v>2.4</v>
      </c>
      <c r="AD525" s="56">
        <f t="shared" si="213"/>
        <v>2.4</v>
      </c>
    </row>
    <row r="526" spans="1:30" s="62" customFormat="1" ht="14.5" outlineLevel="1">
      <c r="A526" s="291" t="s">
        <v>346</v>
      </c>
      <c r="B526" s="60"/>
      <c r="C526" s="42"/>
      <c r="D526" s="61"/>
      <c r="E526" s="61"/>
      <c r="F526" s="61"/>
      <c r="G526" s="61"/>
      <c r="H526" s="61"/>
      <c r="I526" s="61"/>
      <c r="J526" s="61"/>
      <c r="K526" s="61"/>
      <c r="L526" s="61"/>
      <c r="M526" s="61"/>
      <c r="N526" s="61"/>
      <c r="O526" s="61"/>
      <c r="P526" s="61"/>
      <c r="Q526" s="61"/>
      <c r="R526" s="61"/>
      <c r="S526" s="61"/>
      <c r="T526" s="61"/>
      <c r="U526" s="61"/>
      <c r="V526" s="61"/>
      <c r="W526" s="61"/>
      <c r="X526" s="61"/>
      <c r="Y526" s="61"/>
      <c r="Z526" s="61"/>
      <c r="AA526" s="61"/>
      <c r="AB526" s="61"/>
      <c r="AC526" s="61"/>
      <c r="AD526" s="61"/>
    </row>
    <row r="527" spans="1:30" outlineLevel="1">
      <c r="A527" s="214" t="s">
        <v>178</v>
      </c>
      <c r="B527" s="214" t="s">
        <v>126</v>
      </c>
      <c r="C527" s="42"/>
      <c r="D527" s="219">
        <v>92</v>
      </c>
      <c r="E527" s="219">
        <f t="shared" ref="E527:AD528" si="214">D527</f>
        <v>92</v>
      </c>
      <c r="F527" s="219">
        <f t="shared" si="214"/>
        <v>92</v>
      </c>
      <c r="G527" s="219">
        <f t="shared" si="214"/>
        <v>92</v>
      </c>
      <c r="H527" s="219">
        <f t="shared" si="214"/>
        <v>92</v>
      </c>
      <c r="I527" s="219">
        <f t="shared" si="214"/>
        <v>92</v>
      </c>
      <c r="J527" s="219">
        <f t="shared" si="214"/>
        <v>92</v>
      </c>
      <c r="K527" s="219">
        <f t="shared" si="214"/>
        <v>92</v>
      </c>
      <c r="L527" s="219">
        <f t="shared" si="214"/>
        <v>92</v>
      </c>
      <c r="M527" s="219">
        <f t="shared" si="214"/>
        <v>92</v>
      </c>
      <c r="N527" s="219">
        <f t="shared" si="214"/>
        <v>92</v>
      </c>
      <c r="O527" s="219">
        <f t="shared" si="214"/>
        <v>92</v>
      </c>
      <c r="P527" s="219">
        <f t="shared" si="214"/>
        <v>92</v>
      </c>
      <c r="Q527" s="219">
        <f t="shared" si="214"/>
        <v>92</v>
      </c>
      <c r="R527" s="219">
        <f t="shared" si="214"/>
        <v>92</v>
      </c>
      <c r="S527" s="219">
        <f t="shared" si="214"/>
        <v>92</v>
      </c>
      <c r="T527" s="219">
        <f t="shared" si="214"/>
        <v>92</v>
      </c>
      <c r="U527" s="219">
        <f t="shared" si="214"/>
        <v>92</v>
      </c>
      <c r="V527" s="219">
        <f t="shared" si="214"/>
        <v>92</v>
      </c>
      <c r="W527" s="219">
        <f t="shared" si="214"/>
        <v>92</v>
      </c>
      <c r="X527" s="219">
        <f t="shared" si="214"/>
        <v>92</v>
      </c>
      <c r="Y527" s="219">
        <f t="shared" si="214"/>
        <v>92</v>
      </c>
      <c r="Z527" s="219">
        <f t="shared" si="214"/>
        <v>92</v>
      </c>
      <c r="AA527" s="219">
        <f t="shared" si="214"/>
        <v>92</v>
      </c>
      <c r="AB527" s="219">
        <f t="shared" si="214"/>
        <v>92</v>
      </c>
      <c r="AC527" s="219">
        <f t="shared" si="214"/>
        <v>92</v>
      </c>
      <c r="AD527" s="219">
        <f t="shared" si="214"/>
        <v>92</v>
      </c>
    </row>
    <row r="528" spans="1:30" outlineLevel="1">
      <c r="A528" s="214" t="s">
        <v>179</v>
      </c>
      <c r="B528" s="214" t="s">
        <v>334</v>
      </c>
      <c r="C528" s="42"/>
      <c r="D528" s="219">
        <v>140</v>
      </c>
      <c r="E528" s="219">
        <f t="shared" si="214"/>
        <v>140</v>
      </c>
      <c r="F528" s="219">
        <f t="shared" si="214"/>
        <v>140</v>
      </c>
      <c r="G528" s="219">
        <f t="shared" si="214"/>
        <v>140</v>
      </c>
      <c r="H528" s="219">
        <f t="shared" si="214"/>
        <v>140</v>
      </c>
      <c r="I528" s="219">
        <f t="shared" si="214"/>
        <v>140</v>
      </c>
      <c r="J528" s="219">
        <f t="shared" si="214"/>
        <v>140</v>
      </c>
      <c r="K528" s="219">
        <f t="shared" si="214"/>
        <v>140</v>
      </c>
      <c r="L528" s="219">
        <f t="shared" si="214"/>
        <v>140</v>
      </c>
      <c r="M528" s="219">
        <f t="shared" si="214"/>
        <v>140</v>
      </c>
      <c r="N528" s="219">
        <f t="shared" si="214"/>
        <v>140</v>
      </c>
      <c r="O528" s="219">
        <f t="shared" si="214"/>
        <v>140</v>
      </c>
      <c r="P528" s="219">
        <f t="shared" si="214"/>
        <v>140</v>
      </c>
      <c r="Q528" s="219">
        <f t="shared" si="214"/>
        <v>140</v>
      </c>
      <c r="R528" s="219">
        <f t="shared" si="214"/>
        <v>140</v>
      </c>
      <c r="S528" s="219">
        <f t="shared" si="214"/>
        <v>140</v>
      </c>
      <c r="T528" s="219">
        <f t="shared" si="214"/>
        <v>140</v>
      </c>
      <c r="U528" s="219">
        <f t="shared" si="214"/>
        <v>140</v>
      </c>
      <c r="V528" s="219">
        <f t="shared" si="214"/>
        <v>140</v>
      </c>
      <c r="W528" s="219">
        <f t="shared" si="214"/>
        <v>140</v>
      </c>
      <c r="X528" s="219">
        <f t="shared" si="214"/>
        <v>140</v>
      </c>
      <c r="Y528" s="219">
        <f t="shared" si="214"/>
        <v>140</v>
      </c>
      <c r="Z528" s="219">
        <f t="shared" si="214"/>
        <v>140</v>
      </c>
      <c r="AA528" s="219">
        <f t="shared" si="214"/>
        <v>140</v>
      </c>
      <c r="AB528" s="219">
        <f t="shared" si="214"/>
        <v>140</v>
      </c>
      <c r="AC528" s="219">
        <f t="shared" si="214"/>
        <v>140</v>
      </c>
      <c r="AD528" s="219">
        <f t="shared" si="214"/>
        <v>140</v>
      </c>
    </row>
    <row r="529" spans="1:30" s="45" customFormat="1" outlineLevel="1">
      <c r="A529" s="45" t="str">
        <f>A526</f>
        <v xml:space="preserve">Labour - Camp </v>
      </c>
      <c r="B529" s="13" t="s">
        <v>284</v>
      </c>
      <c r="C529" s="42">
        <f>SUM(D529:AD529)</f>
        <v>347.75999999999993</v>
      </c>
      <c r="D529" s="56">
        <f t="shared" ref="D529:AD529" si="215">D527*D528/1000</f>
        <v>12.88</v>
      </c>
      <c r="E529" s="56">
        <f t="shared" si="215"/>
        <v>12.88</v>
      </c>
      <c r="F529" s="56">
        <f t="shared" si="215"/>
        <v>12.88</v>
      </c>
      <c r="G529" s="56">
        <f t="shared" si="215"/>
        <v>12.88</v>
      </c>
      <c r="H529" s="56">
        <f t="shared" si="215"/>
        <v>12.88</v>
      </c>
      <c r="I529" s="56">
        <f t="shared" si="215"/>
        <v>12.88</v>
      </c>
      <c r="J529" s="56">
        <f t="shared" si="215"/>
        <v>12.88</v>
      </c>
      <c r="K529" s="56">
        <f t="shared" si="215"/>
        <v>12.88</v>
      </c>
      <c r="L529" s="56">
        <f t="shared" si="215"/>
        <v>12.88</v>
      </c>
      <c r="M529" s="56">
        <f t="shared" si="215"/>
        <v>12.88</v>
      </c>
      <c r="N529" s="56">
        <f t="shared" si="215"/>
        <v>12.88</v>
      </c>
      <c r="O529" s="56">
        <f t="shared" si="215"/>
        <v>12.88</v>
      </c>
      <c r="P529" s="56">
        <f t="shared" si="215"/>
        <v>12.88</v>
      </c>
      <c r="Q529" s="56">
        <f t="shared" si="215"/>
        <v>12.88</v>
      </c>
      <c r="R529" s="56">
        <f t="shared" si="215"/>
        <v>12.88</v>
      </c>
      <c r="S529" s="56">
        <f t="shared" si="215"/>
        <v>12.88</v>
      </c>
      <c r="T529" s="56">
        <f t="shared" si="215"/>
        <v>12.88</v>
      </c>
      <c r="U529" s="56">
        <f t="shared" si="215"/>
        <v>12.88</v>
      </c>
      <c r="V529" s="56">
        <f t="shared" si="215"/>
        <v>12.88</v>
      </c>
      <c r="W529" s="56">
        <f t="shared" si="215"/>
        <v>12.88</v>
      </c>
      <c r="X529" s="56">
        <f t="shared" si="215"/>
        <v>12.88</v>
      </c>
      <c r="Y529" s="56">
        <f t="shared" si="215"/>
        <v>12.88</v>
      </c>
      <c r="Z529" s="56">
        <f t="shared" si="215"/>
        <v>12.88</v>
      </c>
      <c r="AA529" s="56">
        <f t="shared" si="215"/>
        <v>12.88</v>
      </c>
      <c r="AB529" s="56">
        <f t="shared" si="215"/>
        <v>12.88</v>
      </c>
      <c r="AC529" s="56">
        <f t="shared" si="215"/>
        <v>12.88</v>
      </c>
      <c r="AD529" s="56">
        <f t="shared" si="215"/>
        <v>12.88</v>
      </c>
    </row>
    <row r="530" spans="1:30" s="62" customFormat="1" ht="14.5" outlineLevel="1">
      <c r="A530" s="291" t="s">
        <v>347</v>
      </c>
      <c r="B530" s="60"/>
      <c r="C530" s="42"/>
      <c r="D530" s="61"/>
      <c r="E530" s="61"/>
      <c r="F530" s="61"/>
      <c r="G530" s="61"/>
      <c r="H530" s="61"/>
      <c r="I530" s="61"/>
      <c r="J530" s="61"/>
      <c r="K530" s="61"/>
      <c r="L530" s="61"/>
      <c r="M530" s="61"/>
      <c r="N530" s="61"/>
      <c r="O530" s="61"/>
      <c r="P530" s="61"/>
      <c r="Q530" s="61"/>
      <c r="R530" s="61"/>
      <c r="S530" s="61"/>
      <c r="T530" s="61"/>
      <c r="U530" s="61"/>
      <c r="V530" s="61"/>
      <c r="W530" s="61"/>
      <c r="X530" s="61"/>
      <c r="Y530" s="61"/>
      <c r="Z530" s="61"/>
      <c r="AA530" s="61"/>
      <c r="AB530" s="61"/>
      <c r="AC530" s="61"/>
      <c r="AD530" s="61"/>
    </row>
    <row r="531" spans="1:30" outlineLevel="1">
      <c r="A531" s="214" t="s">
        <v>180</v>
      </c>
      <c r="B531" s="214" t="s">
        <v>126</v>
      </c>
      <c r="C531" s="42"/>
      <c r="D531" s="219">
        <v>9</v>
      </c>
      <c r="E531" s="219">
        <f t="shared" ref="E531:AD532" si="216">D531</f>
        <v>9</v>
      </c>
      <c r="F531" s="219">
        <f t="shared" si="216"/>
        <v>9</v>
      </c>
      <c r="G531" s="219">
        <f t="shared" si="216"/>
        <v>9</v>
      </c>
      <c r="H531" s="219">
        <f t="shared" si="216"/>
        <v>9</v>
      </c>
      <c r="I531" s="219">
        <f t="shared" si="216"/>
        <v>9</v>
      </c>
      <c r="J531" s="219">
        <f t="shared" si="216"/>
        <v>9</v>
      </c>
      <c r="K531" s="219">
        <f t="shared" si="216"/>
        <v>9</v>
      </c>
      <c r="L531" s="219">
        <f t="shared" si="216"/>
        <v>9</v>
      </c>
      <c r="M531" s="219">
        <f t="shared" si="216"/>
        <v>9</v>
      </c>
      <c r="N531" s="219">
        <f t="shared" si="216"/>
        <v>9</v>
      </c>
      <c r="O531" s="219">
        <f t="shared" si="216"/>
        <v>9</v>
      </c>
      <c r="P531" s="219">
        <f t="shared" si="216"/>
        <v>9</v>
      </c>
      <c r="Q531" s="219">
        <f t="shared" si="216"/>
        <v>9</v>
      </c>
      <c r="R531" s="219">
        <f t="shared" si="216"/>
        <v>9</v>
      </c>
      <c r="S531" s="219">
        <f t="shared" si="216"/>
        <v>9</v>
      </c>
      <c r="T531" s="219">
        <f t="shared" si="216"/>
        <v>9</v>
      </c>
      <c r="U531" s="219">
        <f t="shared" si="216"/>
        <v>9</v>
      </c>
      <c r="V531" s="219">
        <f t="shared" si="216"/>
        <v>9</v>
      </c>
      <c r="W531" s="219">
        <f t="shared" si="216"/>
        <v>9</v>
      </c>
      <c r="X531" s="219">
        <f t="shared" si="216"/>
        <v>9</v>
      </c>
      <c r="Y531" s="219">
        <f t="shared" si="216"/>
        <v>9</v>
      </c>
      <c r="Z531" s="219">
        <f t="shared" si="216"/>
        <v>9</v>
      </c>
      <c r="AA531" s="219">
        <f t="shared" si="216"/>
        <v>9</v>
      </c>
      <c r="AB531" s="219">
        <f t="shared" si="216"/>
        <v>9</v>
      </c>
      <c r="AC531" s="219">
        <f t="shared" si="216"/>
        <v>9</v>
      </c>
      <c r="AD531" s="219">
        <f t="shared" si="216"/>
        <v>9</v>
      </c>
    </row>
    <row r="532" spans="1:30" outlineLevel="1">
      <c r="A532" s="214" t="s">
        <v>181</v>
      </c>
      <c r="B532" s="214" t="s">
        <v>334</v>
      </c>
      <c r="C532" s="42"/>
      <c r="D532" s="219">
        <v>155</v>
      </c>
      <c r="E532" s="219">
        <f t="shared" si="216"/>
        <v>155</v>
      </c>
      <c r="F532" s="219">
        <f t="shared" si="216"/>
        <v>155</v>
      </c>
      <c r="G532" s="219">
        <f t="shared" si="216"/>
        <v>155</v>
      </c>
      <c r="H532" s="219">
        <f t="shared" si="216"/>
        <v>155</v>
      </c>
      <c r="I532" s="219">
        <f t="shared" si="216"/>
        <v>155</v>
      </c>
      <c r="J532" s="219">
        <f t="shared" si="216"/>
        <v>155</v>
      </c>
      <c r="K532" s="219">
        <f t="shared" si="216"/>
        <v>155</v>
      </c>
      <c r="L532" s="219">
        <f t="shared" si="216"/>
        <v>155</v>
      </c>
      <c r="M532" s="219">
        <f t="shared" si="216"/>
        <v>155</v>
      </c>
      <c r="N532" s="219">
        <f t="shared" si="216"/>
        <v>155</v>
      </c>
      <c r="O532" s="219">
        <f t="shared" si="216"/>
        <v>155</v>
      </c>
      <c r="P532" s="219">
        <f t="shared" si="216"/>
        <v>155</v>
      </c>
      <c r="Q532" s="219">
        <f t="shared" si="216"/>
        <v>155</v>
      </c>
      <c r="R532" s="219">
        <f t="shared" si="216"/>
        <v>155</v>
      </c>
      <c r="S532" s="219">
        <f t="shared" si="216"/>
        <v>155</v>
      </c>
      <c r="T532" s="219">
        <f t="shared" si="216"/>
        <v>155</v>
      </c>
      <c r="U532" s="219">
        <f t="shared" si="216"/>
        <v>155</v>
      </c>
      <c r="V532" s="219">
        <f t="shared" si="216"/>
        <v>155</v>
      </c>
      <c r="W532" s="219">
        <f t="shared" si="216"/>
        <v>155</v>
      </c>
      <c r="X532" s="219">
        <f t="shared" si="216"/>
        <v>155</v>
      </c>
      <c r="Y532" s="219">
        <f t="shared" si="216"/>
        <v>155</v>
      </c>
      <c r="Z532" s="219">
        <f t="shared" si="216"/>
        <v>155</v>
      </c>
      <c r="AA532" s="219">
        <f t="shared" si="216"/>
        <v>155</v>
      </c>
      <c r="AB532" s="219">
        <f t="shared" si="216"/>
        <v>155</v>
      </c>
      <c r="AC532" s="219">
        <f t="shared" si="216"/>
        <v>155</v>
      </c>
      <c r="AD532" s="219">
        <f t="shared" si="216"/>
        <v>155</v>
      </c>
    </row>
    <row r="533" spans="1:30" s="45" customFormat="1" outlineLevel="1">
      <c r="A533" s="45" t="str">
        <f>A530</f>
        <v>Labour - HSE &amp; Community</v>
      </c>
      <c r="B533" s="13" t="s">
        <v>284</v>
      </c>
      <c r="C533" s="42">
        <f>SUM(D533:AD533)</f>
        <v>37.665000000000006</v>
      </c>
      <c r="D533" s="56">
        <f t="shared" ref="D533:AD533" si="217">D531*D532/1000</f>
        <v>1.395</v>
      </c>
      <c r="E533" s="56">
        <f t="shared" si="217"/>
        <v>1.395</v>
      </c>
      <c r="F533" s="56">
        <f t="shared" si="217"/>
        <v>1.395</v>
      </c>
      <c r="G533" s="56">
        <f t="shared" si="217"/>
        <v>1.395</v>
      </c>
      <c r="H533" s="56">
        <f t="shared" si="217"/>
        <v>1.395</v>
      </c>
      <c r="I533" s="56">
        <f t="shared" si="217"/>
        <v>1.395</v>
      </c>
      <c r="J533" s="56">
        <f t="shared" si="217"/>
        <v>1.395</v>
      </c>
      <c r="K533" s="56">
        <f t="shared" si="217"/>
        <v>1.395</v>
      </c>
      <c r="L533" s="56">
        <f t="shared" si="217"/>
        <v>1.395</v>
      </c>
      <c r="M533" s="56">
        <f t="shared" si="217"/>
        <v>1.395</v>
      </c>
      <c r="N533" s="56">
        <f t="shared" si="217"/>
        <v>1.395</v>
      </c>
      <c r="O533" s="56">
        <f t="shared" si="217"/>
        <v>1.395</v>
      </c>
      <c r="P533" s="56">
        <f t="shared" si="217"/>
        <v>1.395</v>
      </c>
      <c r="Q533" s="56">
        <f t="shared" si="217"/>
        <v>1.395</v>
      </c>
      <c r="R533" s="56">
        <f t="shared" si="217"/>
        <v>1.395</v>
      </c>
      <c r="S533" s="56">
        <f t="shared" si="217"/>
        <v>1.395</v>
      </c>
      <c r="T533" s="56">
        <f t="shared" si="217"/>
        <v>1.395</v>
      </c>
      <c r="U533" s="56">
        <f t="shared" si="217"/>
        <v>1.395</v>
      </c>
      <c r="V533" s="56">
        <f t="shared" si="217"/>
        <v>1.395</v>
      </c>
      <c r="W533" s="56">
        <f t="shared" si="217"/>
        <v>1.395</v>
      </c>
      <c r="X533" s="56">
        <f t="shared" si="217"/>
        <v>1.395</v>
      </c>
      <c r="Y533" s="56">
        <f t="shared" si="217"/>
        <v>1.395</v>
      </c>
      <c r="Z533" s="56">
        <f t="shared" si="217"/>
        <v>1.395</v>
      </c>
      <c r="AA533" s="56">
        <f t="shared" si="217"/>
        <v>1.395</v>
      </c>
      <c r="AB533" s="56">
        <f t="shared" si="217"/>
        <v>1.395</v>
      </c>
      <c r="AC533" s="56">
        <f t="shared" si="217"/>
        <v>1.395</v>
      </c>
      <c r="AD533" s="56">
        <f t="shared" si="217"/>
        <v>1.395</v>
      </c>
    </row>
    <row r="534" spans="1:30" s="62" customFormat="1" outlineLevel="1">
      <c r="A534" s="41"/>
      <c r="B534" s="60"/>
      <c r="C534" s="42"/>
      <c r="D534" s="61"/>
      <c r="E534" s="61"/>
      <c r="F534" s="61"/>
      <c r="G534" s="61"/>
      <c r="H534" s="61"/>
      <c r="I534" s="61"/>
      <c r="J534" s="61"/>
      <c r="K534" s="61"/>
      <c r="L534" s="61"/>
      <c r="M534" s="61"/>
      <c r="N534" s="61"/>
      <c r="O534" s="61"/>
      <c r="P534" s="61"/>
      <c r="Q534" s="61"/>
      <c r="R534" s="61"/>
      <c r="S534" s="61"/>
      <c r="T534" s="61"/>
      <c r="U534" s="61"/>
      <c r="V534" s="61"/>
      <c r="W534" s="61"/>
      <c r="X534" s="61"/>
      <c r="Y534" s="61"/>
      <c r="Z534" s="61"/>
      <c r="AA534" s="61"/>
      <c r="AB534" s="61"/>
      <c r="AC534" s="61"/>
      <c r="AD534" s="61"/>
    </row>
    <row r="535" spans="1:30" s="45" customFormat="1" outlineLevel="1">
      <c r="A535" s="45" t="str">
        <f>A514</f>
        <v>Labour - G&amp;A</v>
      </c>
      <c r="B535" s="13"/>
      <c r="C535" s="42"/>
      <c r="D535" s="101">
        <f t="shared" ref="D535:AD535" si="218">D519+D525+D529+D533</f>
        <v>21.13</v>
      </c>
      <c r="E535" s="101">
        <f t="shared" si="218"/>
        <v>21.13</v>
      </c>
      <c r="F535" s="101">
        <f t="shared" si="218"/>
        <v>21.13</v>
      </c>
      <c r="G535" s="101">
        <f t="shared" si="218"/>
        <v>21.13</v>
      </c>
      <c r="H535" s="101">
        <f t="shared" si="218"/>
        <v>21.13</v>
      </c>
      <c r="I535" s="101">
        <f t="shared" si="218"/>
        <v>21.13</v>
      </c>
      <c r="J535" s="101">
        <f t="shared" si="218"/>
        <v>21.13</v>
      </c>
      <c r="K535" s="101">
        <f t="shared" si="218"/>
        <v>21.13</v>
      </c>
      <c r="L535" s="101">
        <f t="shared" si="218"/>
        <v>21.13</v>
      </c>
      <c r="M535" s="101">
        <f t="shared" si="218"/>
        <v>21.13</v>
      </c>
      <c r="N535" s="101">
        <f t="shared" si="218"/>
        <v>21.13</v>
      </c>
      <c r="O535" s="101">
        <f t="shared" si="218"/>
        <v>21.13</v>
      </c>
      <c r="P535" s="101">
        <f t="shared" si="218"/>
        <v>21.13</v>
      </c>
      <c r="Q535" s="101">
        <f t="shared" si="218"/>
        <v>21.13</v>
      </c>
      <c r="R535" s="101">
        <f t="shared" si="218"/>
        <v>21.13</v>
      </c>
      <c r="S535" s="101">
        <f t="shared" si="218"/>
        <v>21.13</v>
      </c>
      <c r="T535" s="101">
        <f t="shared" si="218"/>
        <v>21.13</v>
      </c>
      <c r="U535" s="101">
        <f t="shared" si="218"/>
        <v>21.13</v>
      </c>
      <c r="V535" s="101">
        <f t="shared" si="218"/>
        <v>21.13</v>
      </c>
      <c r="W535" s="101">
        <f t="shared" si="218"/>
        <v>21.13</v>
      </c>
      <c r="X535" s="101">
        <f t="shared" si="218"/>
        <v>21.13</v>
      </c>
      <c r="Y535" s="101">
        <f t="shared" si="218"/>
        <v>21.13</v>
      </c>
      <c r="Z535" s="101">
        <f t="shared" si="218"/>
        <v>21.13</v>
      </c>
      <c r="AA535" s="101">
        <f t="shared" si="218"/>
        <v>21.13</v>
      </c>
      <c r="AB535" s="101">
        <f t="shared" si="218"/>
        <v>21.13</v>
      </c>
      <c r="AC535" s="101">
        <f t="shared" si="218"/>
        <v>21.13</v>
      </c>
      <c r="AD535" s="101">
        <f t="shared" si="218"/>
        <v>21.13</v>
      </c>
    </row>
    <row r="536" spans="1:30" s="62" customFormat="1" outlineLevel="1">
      <c r="A536" s="41"/>
      <c r="B536" s="60"/>
      <c r="C536" s="42"/>
      <c r="D536" s="61"/>
      <c r="E536" s="61"/>
      <c r="F536" s="61"/>
      <c r="G536" s="61"/>
      <c r="H536" s="61"/>
      <c r="I536" s="61"/>
      <c r="J536" s="61"/>
      <c r="K536" s="61"/>
      <c r="L536" s="61"/>
      <c r="M536" s="61"/>
      <c r="N536" s="61"/>
      <c r="O536" s="61"/>
      <c r="P536" s="61"/>
      <c r="Q536" s="61"/>
      <c r="R536" s="61"/>
      <c r="S536" s="61"/>
      <c r="T536" s="61"/>
      <c r="U536" s="61"/>
      <c r="V536" s="61"/>
      <c r="W536" s="61"/>
      <c r="X536" s="61"/>
      <c r="Y536" s="61"/>
      <c r="Z536" s="61"/>
      <c r="AA536" s="61"/>
      <c r="AB536" s="61"/>
      <c r="AC536" s="61"/>
      <c r="AD536" s="61"/>
    </row>
    <row r="537" spans="1:30" s="116" customFormat="1" ht="23.4" customHeight="1" outlineLevel="1">
      <c r="A537" s="146" t="s">
        <v>340</v>
      </c>
      <c r="B537" s="114"/>
      <c r="C537" s="40"/>
      <c r="D537" s="115"/>
      <c r="E537" s="115"/>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row>
    <row r="538" spans="1:30" s="62" customFormat="1" outlineLevel="1">
      <c r="A538" s="13" t="s">
        <v>562</v>
      </c>
      <c r="B538" s="60"/>
      <c r="C538" s="42"/>
      <c r="D538" s="61"/>
      <c r="E538" s="61"/>
      <c r="F538" s="61"/>
      <c r="G538" s="61"/>
      <c r="H538" s="61"/>
      <c r="I538" s="61"/>
      <c r="J538" s="61"/>
      <c r="K538" s="61"/>
      <c r="L538" s="61"/>
      <c r="M538" s="61"/>
      <c r="N538" s="61"/>
      <c r="O538" s="61"/>
      <c r="P538" s="61"/>
      <c r="Q538" s="61"/>
      <c r="R538" s="61"/>
      <c r="S538" s="61"/>
      <c r="T538" s="61"/>
      <c r="U538" s="61"/>
      <c r="V538" s="61"/>
      <c r="W538" s="61"/>
      <c r="X538" s="61"/>
      <c r="Y538" s="61"/>
      <c r="Z538" s="61"/>
      <c r="AA538" s="61"/>
      <c r="AB538" s="61"/>
      <c r="AC538" s="61"/>
      <c r="AD538" s="61"/>
    </row>
    <row r="539" spans="1:30" outlineLevel="1">
      <c r="A539" s="214" t="s">
        <v>348</v>
      </c>
      <c r="B539" s="214" t="s">
        <v>172</v>
      </c>
      <c r="C539" s="42"/>
      <c r="D539" s="219">
        <v>2000</v>
      </c>
      <c r="E539" s="219">
        <f t="shared" ref="E539:AD539" si="219">D539</f>
        <v>2000</v>
      </c>
      <c r="F539" s="219">
        <f t="shared" si="219"/>
        <v>2000</v>
      </c>
      <c r="G539" s="219">
        <f t="shared" si="219"/>
        <v>2000</v>
      </c>
      <c r="H539" s="219">
        <f t="shared" si="219"/>
        <v>2000</v>
      </c>
      <c r="I539" s="219">
        <f t="shared" si="219"/>
        <v>2000</v>
      </c>
      <c r="J539" s="219">
        <f t="shared" si="219"/>
        <v>2000</v>
      </c>
      <c r="K539" s="219">
        <f t="shared" si="219"/>
        <v>2000</v>
      </c>
      <c r="L539" s="219">
        <f t="shared" si="219"/>
        <v>2000</v>
      </c>
      <c r="M539" s="219">
        <f t="shared" si="219"/>
        <v>2000</v>
      </c>
      <c r="N539" s="219">
        <f t="shared" si="219"/>
        <v>2000</v>
      </c>
      <c r="O539" s="219">
        <f t="shared" si="219"/>
        <v>2000</v>
      </c>
      <c r="P539" s="219">
        <f t="shared" si="219"/>
        <v>2000</v>
      </c>
      <c r="Q539" s="219">
        <f t="shared" si="219"/>
        <v>2000</v>
      </c>
      <c r="R539" s="219">
        <f t="shared" si="219"/>
        <v>2000</v>
      </c>
      <c r="S539" s="219">
        <f t="shared" si="219"/>
        <v>2000</v>
      </c>
      <c r="T539" s="219">
        <f t="shared" si="219"/>
        <v>2000</v>
      </c>
      <c r="U539" s="219">
        <f t="shared" si="219"/>
        <v>2000</v>
      </c>
      <c r="V539" s="219">
        <f t="shared" si="219"/>
        <v>2000</v>
      </c>
      <c r="W539" s="219">
        <f t="shared" si="219"/>
        <v>2000</v>
      </c>
      <c r="X539" s="219">
        <f t="shared" si="219"/>
        <v>2000</v>
      </c>
      <c r="Y539" s="219">
        <f t="shared" si="219"/>
        <v>2000</v>
      </c>
      <c r="Z539" s="219">
        <f t="shared" si="219"/>
        <v>2000</v>
      </c>
      <c r="AA539" s="219">
        <f t="shared" si="219"/>
        <v>2000</v>
      </c>
      <c r="AB539" s="219">
        <f t="shared" si="219"/>
        <v>2000</v>
      </c>
      <c r="AC539" s="219">
        <f t="shared" si="219"/>
        <v>2000</v>
      </c>
      <c r="AD539" s="219">
        <f t="shared" si="219"/>
        <v>2000</v>
      </c>
    </row>
    <row r="540" spans="1:30" s="45" customFormat="1" outlineLevel="1">
      <c r="A540" s="45" t="str">
        <f>A483</f>
        <v>electricity price</v>
      </c>
      <c r="B540" s="13" t="str">
        <f>B483</f>
        <v>A$ Real/ kWh</v>
      </c>
      <c r="C540" s="42"/>
      <c r="D540" s="57">
        <f t="shared" ref="D540:AD540" si="220">D483</f>
        <v>0.12</v>
      </c>
      <c r="E540" s="57">
        <f t="shared" si="220"/>
        <v>0.12</v>
      </c>
      <c r="F540" s="57">
        <f t="shared" si="220"/>
        <v>0.12</v>
      </c>
      <c r="G540" s="57">
        <f t="shared" si="220"/>
        <v>0.12</v>
      </c>
      <c r="H540" s="57">
        <f t="shared" si="220"/>
        <v>0.12</v>
      </c>
      <c r="I540" s="57">
        <f t="shared" si="220"/>
        <v>0.12</v>
      </c>
      <c r="J540" s="57">
        <f t="shared" si="220"/>
        <v>0.12</v>
      </c>
      <c r="K540" s="57">
        <f t="shared" si="220"/>
        <v>0.12</v>
      </c>
      <c r="L540" s="57">
        <f t="shared" si="220"/>
        <v>0.12</v>
      </c>
      <c r="M540" s="57">
        <f t="shared" si="220"/>
        <v>0.12</v>
      </c>
      <c r="N540" s="57">
        <f t="shared" si="220"/>
        <v>0.12</v>
      </c>
      <c r="O540" s="57">
        <f t="shared" si="220"/>
        <v>0.12</v>
      </c>
      <c r="P540" s="57">
        <f t="shared" si="220"/>
        <v>0.12</v>
      </c>
      <c r="Q540" s="57">
        <f t="shared" si="220"/>
        <v>0.12</v>
      </c>
      <c r="R540" s="57">
        <f t="shared" si="220"/>
        <v>0.12</v>
      </c>
      <c r="S540" s="57">
        <f t="shared" si="220"/>
        <v>0.12</v>
      </c>
      <c r="T540" s="57">
        <f t="shared" si="220"/>
        <v>0.12</v>
      </c>
      <c r="U540" s="57">
        <f t="shared" si="220"/>
        <v>0.12</v>
      </c>
      <c r="V540" s="57">
        <f t="shared" si="220"/>
        <v>0.12</v>
      </c>
      <c r="W540" s="57">
        <f t="shared" si="220"/>
        <v>0.12</v>
      </c>
      <c r="X540" s="57">
        <f t="shared" si="220"/>
        <v>0.12</v>
      </c>
      <c r="Y540" s="57">
        <f t="shared" si="220"/>
        <v>0.12</v>
      </c>
      <c r="Z540" s="57">
        <f t="shared" si="220"/>
        <v>0.12</v>
      </c>
      <c r="AA540" s="57">
        <f t="shared" si="220"/>
        <v>0.12</v>
      </c>
      <c r="AB540" s="57">
        <f t="shared" si="220"/>
        <v>0.12</v>
      </c>
      <c r="AC540" s="57">
        <f t="shared" si="220"/>
        <v>0.12</v>
      </c>
      <c r="AD540" s="57">
        <f t="shared" si="220"/>
        <v>0.12</v>
      </c>
    </row>
    <row r="541" spans="1:30" s="45" customFormat="1" outlineLevel="1">
      <c r="A541" s="45" t="str">
        <f>A537</f>
        <v>Electricity</v>
      </c>
      <c r="B541" s="13" t="s">
        <v>284</v>
      </c>
      <c r="C541" s="42">
        <f>SUM(D541:AD541)</f>
        <v>56.764800000000029</v>
      </c>
      <c r="D541" s="101">
        <f t="shared" ref="D541:AD541" si="221">D539*365*24*D540/1000000</f>
        <v>2.1023999999999998</v>
      </c>
      <c r="E541" s="101">
        <f t="shared" si="221"/>
        <v>2.1023999999999998</v>
      </c>
      <c r="F541" s="101">
        <f t="shared" si="221"/>
        <v>2.1023999999999998</v>
      </c>
      <c r="G541" s="101">
        <f t="shared" si="221"/>
        <v>2.1023999999999998</v>
      </c>
      <c r="H541" s="101">
        <f t="shared" si="221"/>
        <v>2.1023999999999998</v>
      </c>
      <c r="I541" s="101">
        <f t="shared" si="221"/>
        <v>2.1023999999999998</v>
      </c>
      <c r="J541" s="101">
        <f t="shared" si="221"/>
        <v>2.1023999999999998</v>
      </c>
      <c r="K541" s="101">
        <f t="shared" si="221"/>
        <v>2.1023999999999998</v>
      </c>
      <c r="L541" s="101">
        <f t="shared" si="221"/>
        <v>2.1023999999999998</v>
      </c>
      <c r="M541" s="101">
        <f t="shared" si="221"/>
        <v>2.1023999999999998</v>
      </c>
      <c r="N541" s="101">
        <f t="shared" si="221"/>
        <v>2.1023999999999998</v>
      </c>
      <c r="O541" s="101">
        <f t="shared" si="221"/>
        <v>2.1023999999999998</v>
      </c>
      <c r="P541" s="101">
        <f t="shared" si="221"/>
        <v>2.1023999999999998</v>
      </c>
      <c r="Q541" s="101">
        <f t="shared" si="221"/>
        <v>2.1023999999999998</v>
      </c>
      <c r="R541" s="101">
        <f t="shared" si="221"/>
        <v>2.1023999999999998</v>
      </c>
      <c r="S541" s="101">
        <f t="shared" si="221"/>
        <v>2.1023999999999998</v>
      </c>
      <c r="T541" s="101">
        <f t="shared" si="221"/>
        <v>2.1023999999999998</v>
      </c>
      <c r="U541" s="101">
        <f t="shared" si="221"/>
        <v>2.1023999999999998</v>
      </c>
      <c r="V541" s="101">
        <f t="shared" si="221"/>
        <v>2.1023999999999998</v>
      </c>
      <c r="W541" s="101">
        <f t="shared" si="221"/>
        <v>2.1023999999999998</v>
      </c>
      <c r="X541" s="101">
        <f t="shared" si="221"/>
        <v>2.1023999999999998</v>
      </c>
      <c r="Y541" s="101">
        <f t="shared" si="221"/>
        <v>2.1023999999999998</v>
      </c>
      <c r="Z541" s="101">
        <f t="shared" si="221"/>
        <v>2.1023999999999998</v>
      </c>
      <c r="AA541" s="101">
        <f t="shared" si="221"/>
        <v>2.1023999999999998</v>
      </c>
      <c r="AB541" s="101">
        <f t="shared" si="221"/>
        <v>2.1023999999999998</v>
      </c>
      <c r="AC541" s="101">
        <f t="shared" si="221"/>
        <v>2.1023999999999998</v>
      </c>
      <c r="AD541" s="101">
        <f t="shared" si="221"/>
        <v>2.1023999999999998</v>
      </c>
    </row>
    <row r="542" spans="1:30" s="45" customFormat="1" outlineLevel="1">
      <c r="B542" s="13"/>
      <c r="C542" s="42"/>
      <c r="D542" s="56"/>
      <c r="E542" s="56"/>
      <c r="F542" s="56"/>
      <c r="G542" s="56"/>
      <c r="H542" s="56"/>
      <c r="I542" s="56"/>
      <c r="J542" s="56"/>
      <c r="K542" s="56"/>
      <c r="L542" s="56"/>
      <c r="M542" s="56"/>
      <c r="N542" s="56"/>
      <c r="O542" s="56"/>
      <c r="P542" s="56"/>
      <c r="Q542" s="56"/>
      <c r="R542" s="56"/>
      <c r="S542" s="56"/>
      <c r="T542" s="56"/>
      <c r="U542" s="56"/>
      <c r="V542" s="56"/>
      <c r="W542" s="56"/>
      <c r="X542" s="56"/>
      <c r="Y542" s="56"/>
      <c r="Z542" s="56"/>
      <c r="AA542" s="56"/>
      <c r="AB542" s="56"/>
      <c r="AC542" s="56"/>
      <c r="AD542" s="56"/>
    </row>
    <row r="543" spans="1:30" s="116" customFormat="1" ht="23.4" customHeight="1" outlineLevel="1">
      <c r="A543" s="146" t="s">
        <v>339</v>
      </c>
      <c r="B543" s="114"/>
      <c r="C543" s="40"/>
      <c r="D543" s="115"/>
      <c r="E543" s="115"/>
      <c r="F543" s="115"/>
      <c r="G543" s="115"/>
      <c r="H543" s="115"/>
      <c r="I543" s="115"/>
      <c r="J543" s="115"/>
      <c r="K543" s="115"/>
      <c r="L543" s="115"/>
      <c r="M543" s="115"/>
      <c r="N543" s="115"/>
      <c r="O543" s="115"/>
      <c r="P543" s="115"/>
      <c r="Q543" s="115"/>
      <c r="R543" s="115"/>
      <c r="S543" s="115"/>
      <c r="T543" s="115"/>
      <c r="U543" s="115"/>
      <c r="V543" s="115"/>
      <c r="W543" s="115"/>
      <c r="X543" s="115"/>
      <c r="Y543" s="115"/>
      <c r="Z543" s="115"/>
      <c r="AA543" s="115"/>
      <c r="AB543" s="115"/>
      <c r="AC543" s="115"/>
      <c r="AD543" s="115"/>
    </row>
    <row r="544" spans="1:30" s="62" customFormat="1" outlineLevel="1">
      <c r="A544" s="13" t="s">
        <v>563</v>
      </c>
      <c r="B544" s="60"/>
      <c r="C544" s="42"/>
      <c r="D544" s="61"/>
      <c r="E544" s="61"/>
      <c r="F544" s="61"/>
      <c r="G544" s="61"/>
      <c r="H544" s="61"/>
      <c r="I544" s="61"/>
      <c r="J544" s="61"/>
      <c r="K544" s="61"/>
      <c r="L544" s="61"/>
      <c r="M544" s="61"/>
      <c r="N544" s="61"/>
      <c r="O544" s="61"/>
      <c r="P544" s="61"/>
      <c r="Q544" s="61"/>
      <c r="R544" s="61"/>
      <c r="S544" s="61"/>
      <c r="T544" s="61"/>
      <c r="U544" s="61"/>
      <c r="V544" s="61"/>
      <c r="W544" s="61"/>
      <c r="X544" s="61"/>
      <c r="Y544" s="61"/>
      <c r="Z544" s="61"/>
      <c r="AA544" s="61"/>
      <c r="AB544" s="61"/>
      <c r="AC544" s="61"/>
      <c r="AD544" s="61"/>
    </row>
    <row r="545" spans="1:30" outlineLevel="1">
      <c r="A545" s="214" t="s">
        <v>182</v>
      </c>
      <c r="B545" s="214" t="s">
        <v>284</v>
      </c>
      <c r="C545" s="42"/>
      <c r="D545" s="292">
        <v>0.5</v>
      </c>
      <c r="E545" s="292">
        <f t="shared" ref="E545:AD550" si="222">D545</f>
        <v>0.5</v>
      </c>
      <c r="F545" s="292">
        <f t="shared" si="222"/>
        <v>0.5</v>
      </c>
      <c r="G545" s="292">
        <f t="shared" si="222"/>
        <v>0.5</v>
      </c>
      <c r="H545" s="292">
        <f t="shared" si="222"/>
        <v>0.5</v>
      </c>
      <c r="I545" s="292">
        <f t="shared" si="222"/>
        <v>0.5</v>
      </c>
      <c r="J545" s="292">
        <f t="shared" si="222"/>
        <v>0.5</v>
      </c>
      <c r="K545" s="292">
        <f t="shared" si="222"/>
        <v>0.5</v>
      </c>
      <c r="L545" s="292">
        <f t="shared" si="222"/>
        <v>0.5</v>
      </c>
      <c r="M545" s="292">
        <f t="shared" si="222"/>
        <v>0.5</v>
      </c>
      <c r="N545" s="292">
        <f t="shared" si="222"/>
        <v>0.5</v>
      </c>
      <c r="O545" s="292">
        <f t="shared" si="222"/>
        <v>0.5</v>
      </c>
      <c r="P545" s="292">
        <f t="shared" si="222"/>
        <v>0.5</v>
      </c>
      <c r="Q545" s="292">
        <f t="shared" si="222"/>
        <v>0.5</v>
      </c>
      <c r="R545" s="292">
        <f t="shared" si="222"/>
        <v>0.5</v>
      </c>
      <c r="S545" s="292">
        <f t="shared" si="222"/>
        <v>0.5</v>
      </c>
      <c r="T545" s="292">
        <f t="shared" si="222"/>
        <v>0.5</v>
      </c>
      <c r="U545" s="292">
        <f t="shared" si="222"/>
        <v>0.5</v>
      </c>
      <c r="V545" s="292">
        <f t="shared" si="222"/>
        <v>0.5</v>
      </c>
      <c r="W545" s="292">
        <f t="shared" si="222"/>
        <v>0.5</v>
      </c>
      <c r="X545" s="292">
        <f t="shared" si="222"/>
        <v>0.5</v>
      </c>
      <c r="Y545" s="292">
        <f t="shared" si="222"/>
        <v>0.5</v>
      </c>
      <c r="Z545" s="292">
        <f t="shared" si="222"/>
        <v>0.5</v>
      </c>
      <c r="AA545" s="292">
        <f t="shared" si="222"/>
        <v>0.5</v>
      </c>
      <c r="AB545" s="292">
        <f t="shared" si="222"/>
        <v>0.5</v>
      </c>
      <c r="AC545" s="292">
        <f t="shared" si="222"/>
        <v>0.5</v>
      </c>
      <c r="AD545" s="292">
        <f t="shared" si="222"/>
        <v>0.5</v>
      </c>
    </row>
    <row r="546" spans="1:30" outlineLevel="1">
      <c r="A546" s="214" t="s">
        <v>338</v>
      </c>
      <c r="B546" s="214" t="s">
        <v>284</v>
      </c>
      <c r="C546" s="42"/>
      <c r="D546" s="292">
        <v>0.8</v>
      </c>
      <c r="E546" s="292">
        <f t="shared" si="222"/>
        <v>0.8</v>
      </c>
      <c r="F546" s="292">
        <f t="shared" si="222"/>
        <v>0.8</v>
      </c>
      <c r="G546" s="292">
        <f t="shared" si="222"/>
        <v>0.8</v>
      </c>
      <c r="H546" s="292">
        <f t="shared" si="222"/>
        <v>0.8</v>
      </c>
      <c r="I546" s="292">
        <f t="shared" si="222"/>
        <v>0.8</v>
      </c>
      <c r="J546" s="292">
        <f t="shared" si="222"/>
        <v>0.8</v>
      </c>
      <c r="K546" s="292">
        <f t="shared" si="222"/>
        <v>0.8</v>
      </c>
      <c r="L546" s="292">
        <f t="shared" si="222"/>
        <v>0.8</v>
      </c>
      <c r="M546" s="292">
        <f t="shared" si="222"/>
        <v>0.8</v>
      </c>
      <c r="N546" s="292">
        <f t="shared" si="222"/>
        <v>0.8</v>
      </c>
      <c r="O546" s="292">
        <f t="shared" si="222"/>
        <v>0.8</v>
      </c>
      <c r="P546" s="292">
        <f t="shared" si="222"/>
        <v>0.8</v>
      </c>
      <c r="Q546" s="292">
        <f t="shared" si="222"/>
        <v>0.8</v>
      </c>
      <c r="R546" s="292">
        <f t="shared" si="222"/>
        <v>0.8</v>
      </c>
      <c r="S546" s="292">
        <f t="shared" si="222"/>
        <v>0.8</v>
      </c>
      <c r="T546" s="292">
        <f t="shared" si="222"/>
        <v>0.8</v>
      </c>
      <c r="U546" s="292">
        <f t="shared" si="222"/>
        <v>0.8</v>
      </c>
      <c r="V546" s="292">
        <f t="shared" si="222"/>
        <v>0.8</v>
      </c>
      <c r="W546" s="292">
        <f t="shared" si="222"/>
        <v>0.8</v>
      </c>
      <c r="X546" s="292">
        <f t="shared" si="222"/>
        <v>0.8</v>
      </c>
      <c r="Y546" s="292">
        <f t="shared" si="222"/>
        <v>0.8</v>
      </c>
      <c r="Z546" s="292">
        <f t="shared" si="222"/>
        <v>0.8</v>
      </c>
      <c r="AA546" s="292">
        <f t="shared" si="222"/>
        <v>0.8</v>
      </c>
      <c r="AB546" s="292">
        <f t="shared" si="222"/>
        <v>0.8</v>
      </c>
      <c r="AC546" s="292">
        <f t="shared" si="222"/>
        <v>0.8</v>
      </c>
      <c r="AD546" s="292">
        <f t="shared" si="222"/>
        <v>0.8</v>
      </c>
    </row>
    <row r="547" spans="1:30" outlineLevel="1">
      <c r="A547" s="214" t="s">
        <v>335</v>
      </c>
      <c r="B547" s="214" t="s">
        <v>284</v>
      </c>
      <c r="C547" s="42"/>
      <c r="D547" s="292">
        <v>0.3</v>
      </c>
      <c r="E547" s="292">
        <f t="shared" si="222"/>
        <v>0.3</v>
      </c>
      <c r="F547" s="292">
        <f t="shared" si="222"/>
        <v>0.3</v>
      </c>
      <c r="G547" s="292">
        <f t="shared" si="222"/>
        <v>0.3</v>
      </c>
      <c r="H547" s="292">
        <f t="shared" si="222"/>
        <v>0.3</v>
      </c>
      <c r="I547" s="292">
        <f t="shared" si="222"/>
        <v>0.3</v>
      </c>
      <c r="J547" s="292">
        <f t="shared" si="222"/>
        <v>0.3</v>
      </c>
      <c r="K547" s="292">
        <f t="shared" si="222"/>
        <v>0.3</v>
      </c>
      <c r="L547" s="292">
        <f t="shared" si="222"/>
        <v>0.3</v>
      </c>
      <c r="M547" s="292">
        <f t="shared" si="222"/>
        <v>0.3</v>
      </c>
      <c r="N547" s="292">
        <f t="shared" si="222"/>
        <v>0.3</v>
      </c>
      <c r="O547" s="292">
        <f t="shared" si="222"/>
        <v>0.3</v>
      </c>
      <c r="P547" s="292">
        <f t="shared" si="222"/>
        <v>0.3</v>
      </c>
      <c r="Q547" s="292">
        <f t="shared" si="222"/>
        <v>0.3</v>
      </c>
      <c r="R547" s="292">
        <f t="shared" si="222"/>
        <v>0.3</v>
      </c>
      <c r="S547" s="292">
        <f t="shared" si="222"/>
        <v>0.3</v>
      </c>
      <c r="T547" s="292">
        <f t="shared" si="222"/>
        <v>0.3</v>
      </c>
      <c r="U547" s="292">
        <f t="shared" si="222"/>
        <v>0.3</v>
      </c>
      <c r="V547" s="292">
        <f t="shared" si="222"/>
        <v>0.3</v>
      </c>
      <c r="W547" s="292">
        <f t="shared" si="222"/>
        <v>0.3</v>
      </c>
      <c r="X547" s="292">
        <f t="shared" si="222"/>
        <v>0.3</v>
      </c>
      <c r="Y547" s="292">
        <f t="shared" si="222"/>
        <v>0.3</v>
      </c>
      <c r="Z547" s="292">
        <f t="shared" si="222"/>
        <v>0.3</v>
      </c>
      <c r="AA547" s="292">
        <f t="shared" si="222"/>
        <v>0.3</v>
      </c>
      <c r="AB547" s="292">
        <f t="shared" si="222"/>
        <v>0.3</v>
      </c>
      <c r="AC547" s="292">
        <f t="shared" si="222"/>
        <v>0.3</v>
      </c>
      <c r="AD547" s="292">
        <f t="shared" si="222"/>
        <v>0.3</v>
      </c>
    </row>
    <row r="548" spans="1:30" outlineLevel="1">
      <c r="A548" s="214" t="s">
        <v>336</v>
      </c>
      <c r="B548" s="214" t="s">
        <v>284</v>
      </c>
      <c r="C548" s="42"/>
      <c r="D548" s="292">
        <v>0.15</v>
      </c>
      <c r="E548" s="292">
        <f t="shared" si="222"/>
        <v>0.15</v>
      </c>
      <c r="F548" s="292">
        <f t="shared" si="222"/>
        <v>0.15</v>
      </c>
      <c r="G548" s="292">
        <f t="shared" si="222"/>
        <v>0.15</v>
      </c>
      <c r="H548" s="292">
        <f t="shared" si="222"/>
        <v>0.15</v>
      </c>
      <c r="I548" s="292">
        <f t="shared" si="222"/>
        <v>0.15</v>
      </c>
      <c r="J548" s="292">
        <f t="shared" si="222"/>
        <v>0.15</v>
      </c>
      <c r="K548" s="292">
        <f t="shared" si="222"/>
        <v>0.15</v>
      </c>
      <c r="L548" s="292">
        <f t="shared" si="222"/>
        <v>0.15</v>
      </c>
      <c r="M548" s="292">
        <f t="shared" si="222"/>
        <v>0.15</v>
      </c>
      <c r="N548" s="292">
        <f t="shared" si="222"/>
        <v>0.15</v>
      </c>
      <c r="O548" s="292">
        <f t="shared" si="222"/>
        <v>0.15</v>
      </c>
      <c r="P548" s="292">
        <f t="shared" si="222"/>
        <v>0.15</v>
      </c>
      <c r="Q548" s="292">
        <f t="shared" si="222"/>
        <v>0.15</v>
      </c>
      <c r="R548" s="292">
        <f t="shared" si="222"/>
        <v>0.15</v>
      </c>
      <c r="S548" s="292">
        <f t="shared" si="222"/>
        <v>0.15</v>
      </c>
      <c r="T548" s="292">
        <f t="shared" si="222"/>
        <v>0.15</v>
      </c>
      <c r="U548" s="292">
        <f t="shared" si="222"/>
        <v>0.15</v>
      </c>
      <c r="V548" s="292">
        <f t="shared" si="222"/>
        <v>0.15</v>
      </c>
      <c r="W548" s="292">
        <f t="shared" si="222"/>
        <v>0.15</v>
      </c>
      <c r="X548" s="292">
        <f t="shared" si="222"/>
        <v>0.15</v>
      </c>
      <c r="Y548" s="292">
        <f t="shared" si="222"/>
        <v>0.15</v>
      </c>
      <c r="Z548" s="292">
        <f t="shared" si="222"/>
        <v>0.15</v>
      </c>
      <c r="AA548" s="292">
        <f t="shared" si="222"/>
        <v>0.15</v>
      </c>
      <c r="AB548" s="292">
        <f t="shared" si="222"/>
        <v>0.15</v>
      </c>
      <c r="AC548" s="292">
        <f t="shared" si="222"/>
        <v>0.15</v>
      </c>
      <c r="AD548" s="292">
        <f t="shared" si="222"/>
        <v>0.15</v>
      </c>
    </row>
    <row r="549" spans="1:30" outlineLevel="1">
      <c r="A549" s="214" t="s">
        <v>185</v>
      </c>
      <c r="B549" s="214" t="s">
        <v>284</v>
      </c>
      <c r="C549" s="42"/>
      <c r="D549" s="292">
        <v>0.3</v>
      </c>
      <c r="E549" s="292">
        <f t="shared" si="222"/>
        <v>0.3</v>
      </c>
      <c r="F549" s="292">
        <f t="shared" si="222"/>
        <v>0.3</v>
      </c>
      <c r="G549" s="292">
        <f t="shared" si="222"/>
        <v>0.3</v>
      </c>
      <c r="H549" s="292">
        <f t="shared" si="222"/>
        <v>0.3</v>
      </c>
      <c r="I549" s="292">
        <f t="shared" si="222"/>
        <v>0.3</v>
      </c>
      <c r="J549" s="292">
        <f t="shared" si="222"/>
        <v>0.3</v>
      </c>
      <c r="K549" s="292">
        <f t="shared" si="222"/>
        <v>0.3</v>
      </c>
      <c r="L549" s="292">
        <f t="shared" si="222"/>
        <v>0.3</v>
      </c>
      <c r="M549" s="292">
        <f t="shared" si="222"/>
        <v>0.3</v>
      </c>
      <c r="N549" s="292">
        <f t="shared" si="222"/>
        <v>0.3</v>
      </c>
      <c r="O549" s="292">
        <f t="shared" si="222"/>
        <v>0.3</v>
      </c>
      <c r="P549" s="292">
        <f t="shared" si="222"/>
        <v>0.3</v>
      </c>
      <c r="Q549" s="292">
        <f t="shared" si="222"/>
        <v>0.3</v>
      </c>
      <c r="R549" s="292">
        <f t="shared" si="222"/>
        <v>0.3</v>
      </c>
      <c r="S549" s="292">
        <f t="shared" si="222"/>
        <v>0.3</v>
      </c>
      <c r="T549" s="292">
        <f t="shared" si="222"/>
        <v>0.3</v>
      </c>
      <c r="U549" s="292">
        <f t="shared" si="222"/>
        <v>0.3</v>
      </c>
      <c r="V549" s="292">
        <f t="shared" si="222"/>
        <v>0.3</v>
      </c>
      <c r="W549" s="292">
        <f t="shared" si="222"/>
        <v>0.3</v>
      </c>
      <c r="X549" s="292">
        <f t="shared" si="222"/>
        <v>0.3</v>
      </c>
      <c r="Y549" s="292">
        <f t="shared" si="222"/>
        <v>0.3</v>
      </c>
      <c r="Z549" s="292">
        <f t="shared" si="222"/>
        <v>0.3</v>
      </c>
      <c r="AA549" s="292">
        <f t="shared" si="222"/>
        <v>0.3</v>
      </c>
      <c r="AB549" s="292">
        <f t="shared" si="222"/>
        <v>0.3</v>
      </c>
      <c r="AC549" s="292">
        <f t="shared" si="222"/>
        <v>0.3</v>
      </c>
      <c r="AD549" s="292">
        <f t="shared" si="222"/>
        <v>0.3</v>
      </c>
    </row>
    <row r="550" spans="1:30" outlineLevel="1">
      <c r="A550" s="214" t="s">
        <v>337</v>
      </c>
      <c r="B550" s="214" t="s">
        <v>284</v>
      </c>
      <c r="C550" s="42"/>
      <c r="D550" s="292">
        <v>0.3</v>
      </c>
      <c r="E550" s="292">
        <f t="shared" si="222"/>
        <v>0.3</v>
      </c>
      <c r="F550" s="292">
        <f t="shared" si="222"/>
        <v>0.3</v>
      </c>
      <c r="G550" s="292">
        <f t="shared" si="222"/>
        <v>0.3</v>
      </c>
      <c r="H550" s="292">
        <f t="shared" si="222"/>
        <v>0.3</v>
      </c>
      <c r="I550" s="292">
        <f t="shared" si="222"/>
        <v>0.3</v>
      </c>
      <c r="J550" s="292">
        <f t="shared" si="222"/>
        <v>0.3</v>
      </c>
      <c r="K550" s="292">
        <f t="shared" si="222"/>
        <v>0.3</v>
      </c>
      <c r="L550" s="292">
        <f t="shared" si="222"/>
        <v>0.3</v>
      </c>
      <c r="M550" s="292">
        <f t="shared" si="222"/>
        <v>0.3</v>
      </c>
      <c r="N550" s="292">
        <f t="shared" si="222"/>
        <v>0.3</v>
      </c>
      <c r="O550" s="292">
        <f t="shared" si="222"/>
        <v>0.3</v>
      </c>
      <c r="P550" s="292">
        <f t="shared" si="222"/>
        <v>0.3</v>
      </c>
      <c r="Q550" s="292">
        <f t="shared" si="222"/>
        <v>0.3</v>
      </c>
      <c r="R550" s="292">
        <f t="shared" si="222"/>
        <v>0.3</v>
      </c>
      <c r="S550" s="292">
        <f t="shared" si="222"/>
        <v>0.3</v>
      </c>
      <c r="T550" s="292">
        <f t="shared" si="222"/>
        <v>0.3</v>
      </c>
      <c r="U550" s="292">
        <f t="shared" si="222"/>
        <v>0.3</v>
      </c>
      <c r="V550" s="292">
        <f t="shared" si="222"/>
        <v>0.3</v>
      </c>
      <c r="W550" s="292">
        <f t="shared" si="222"/>
        <v>0.3</v>
      </c>
      <c r="X550" s="292">
        <f t="shared" si="222"/>
        <v>0.3</v>
      </c>
      <c r="Y550" s="292">
        <f t="shared" si="222"/>
        <v>0.3</v>
      </c>
      <c r="Z550" s="292">
        <f t="shared" si="222"/>
        <v>0.3</v>
      </c>
      <c r="AA550" s="292">
        <f t="shared" si="222"/>
        <v>0.3</v>
      </c>
      <c r="AB550" s="292">
        <f t="shared" si="222"/>
        <v>0.3</v>
      </c>
      <c r="AC550" s="292">
        <f t="shared" si="222"/>
        <v>0.3</v>
      </c>
      <c r="AD550" s="292">
        <f t="shared" si="222"/>
        <v>0.3</v>
      </c>
    </row>
    <row r="551" spans="1:30" s="45" customFormat="1" outlineLevel="1">
      <c r="A551" s="45" t="str">
        <f>A543</f>
        <v>Office</v>
      </c>
      <c r="B551" s="13" t="s">
        <v>284</v>
      </c>
      <c r="C551" s="42">
        <f>SUM(D551:AD551)</f>
        <v>63.450000000000024</v>
      </c>
      <c r="D551" s="101">
        <f t="shared" ref="D551:AD551" si="223">SUM(D545:D550)</f>
        <v>2.3499999999999996</v>
      </c>
      <c r="E551" s="101">
        <f t="shared" si="223"/>
        <v>2.3499999999999996</v>
      </c>
      <c r="F551" s="101">
        <f t="shared" si="223"/>
        <v>2.3499999999999996</v>
      </c>
      <c r="G551" s="101">
        <f t="shared" si="223"/>
        <v>2.3499999999999996</v>
      </c>
      <c r="H551" s="101">
        <f t="shared" si="223"/>
        <v>2.3499999999999996</v>
      </c>
      <c r="I551" s="101">
        <f t="shared" si="223"/>
        <v>2.3499999999999996</v>
      </c>
      <c r="J551" s="101">
        <f t="shared" si="223"/>
        <v>2.3499999999999996</v>
      </c>
      <c r="K551" s="101">
        <f t="shared" si="223"/>
        <v>2.3499999999999996</v>
      </c>
      <c r="L551" s="101">
        <f t="shared" si="223"/>
        <v>2.3499999999999996</v>
      </c>
      <c r="M551" s="101">
        <f t="shared" si="223"/>
        <v>2.3499999999999996</v>
      </c>
      <c r="N551" s="101">
        <f t="shared" si="223"/>
        <v>2.3499999999999996</v>
      </c>
      <c r="O551" s="101">
        <f t="shared" si="223"/>
        <v>2.3499999999999996</v>
      </c>
      <c r="P551" s="101">
        <f t="shared" si="223"/>
        <v>2.3499999999999996</v>
      </c>
      <c r="Q551" s="101">
        <f t="shared" si="223"/>
        <v>2.3499999999999996</v>
      </c>
      <c r="R551" s="101">
        <f t="shared" si="223"/>
        <v>2.3499999999999996</v>
      </c>
      <c r="S551" s="101">
        <f t="shared" si="223"/>
        <v>2.3499999999999996</v>
      </c>
      <c r="T551" s="101">
        <f t="shared" si="223"/>
        <v>2.3499999999999996</v>
      </c>
      <c r="U551" s="101">
        <f t="shared" si="223"/>
        <v>2.3499999999999996</v>
      </c>
      <c r="V551" s="101">
        <f t="shared" si="223"/>
        <v>2.3499999999999996</v>
      </c>
      <c r="W551" s="101">
        <f t="shared" si="223"/>
        <v>2.3499999999999996</v>
      </c>
      <c r="X551" s="101">
        <f t="shared" si="223"/>
        <v>2.3499999999999996</v>
      </c>
      <c r="Y551" s="101">
        <f t="shared" si="223"/>
        <v>2.3499999999999996</v>
      </c>
      <c r="Z551" s="101">
        <f t="shared" si="223"/>
        <v>2.3499999999999996</v>
      </c>
      <c r="AA551" s="101">
        <f t="shared" si="223"/>
        <v>2.3499999999999996</v>
      </c>
      <c r="AB551" s="101">
        <f t="shared" si="223"/>
        <v>2.3499999999999996</v>
      </c>
      <c r="AC551" s="101">
        <f t="shared" si="223"/>
        <v>2.3499999999999996</v>
      </c>
      <c r="AD551" s="101">
        <f t="shared" si="223"/>
        <v>2.3499999999999996</v>
      </c>
    </row>
    <row r="552" spans="1:30" s="45" customFormat="1" outlineLevel="1">
      <c r="B552" s="13"/>
      <c r="C552" s="42"/>
      <c r="D552" s="56"/>
      <c r="E552" s="56"/>
      <c r="F552" s="56"/>
      <c r="G552" s="56"/>
      <c r="H552" s="56"/>
      <c r="I552" s="56"/>
      <c r="J552" s="56"/>
      <c r="K552" s="56"/>
      <c r="L552" s="56"/>
      <c r="M552" s="56"/>
      <c r="N552" s="56"/>
      <c r="O552" s="56"/>
      <c r="P552" s="56"/>
      <c r="Q552" s="56"/>
      <c r="R552" s="56"/>
      <c r="S552" s="56"/>
      <c r="T552" s="56"/>
      <c r="U552" s="56"/>
      <c r="V552" s="56"/>
      <c r="W552" s="56"/>
      <c r="X552" s="56"/>
      <c r="Y552" s="56"/>
      <c r="Z552" s="56"/>
      <c r="AA552" s="56"/>
      <c r="AB552" s="56"/>
      <c r="AC552" s="56"/>
      <c r="AD552" s="56"/>
    </row>
    <row r="553" spans="1:30" s="116" customFormat="1" ht="23.4" customHeight="1" outlineLevel="1">
      <c r="A553" s="146" t="s">
        <v>343</v>
      </c>
      <c r="B553" s="114"/>
      <c r="C553" s="40"/>
      <c r="D553" s="115"/>
      <c r="E553" s="115"/>
      <c r="F553" s="115"/>
      <c r="G553" s="115"/>
      <c r="H553" s="115"/>
      <c r="I553" s="115"/>
      <c r="J553" s="115"/>
      <c r="K553" s="115"/>
      <c r="L553" s="115"/>
      <c r="M553" s="115"/>
      <c r="N553" s="115"/>
      <c r="O553" s="115"/>
      <c r="P553" s="115"/>
      <c r="Q553" s="115"/>
      <c r="R553" s="115"/>
      <c r="S553" s="115"/>
      <c r="T553" s="115"/>
      <c r="U553" s="115"/>
      <c r="V553" s="115"/>
      <c r="W553" s="115"/>
      <c r="X553" s="115"/>
      <c r="Y553" s="115"/>
      <c r="Z553" s="115"/>
      <c r="AA553" s="115"/>
      <c r="AB553" s="115"/>
      <c r="AC553" s="115"/>
      <c r="AD553" s="115"/>
    </row>
    <row r="554" spans="1:30" s="62" customFormat="1" outlineLevel="1">
      <c r="A554" s="13" t="s">
        <v>563</v>
      </c>
      <c r="B554" s="60"/>
      <c r="C554" s="42"/>
      <c r="D554" s="61"/>
      <c r="E554" s="61"/>
      <c r="F554" s="61"/>
      <c r="G554" s="61"/>
      <c r="H554" s="61"/>
      <c r="I554" s="61"/>
      <c r="J554" s="61"/>
      <c r="K554" s="61"/>
      <c r="L554" s="61"/>
      <c r="M554" s="61"/>
      <c r="N554" s="61"/>
      <c r="O554" s="61"/>
      <c r="P554" s="61"/>
      <c r="Q554" s="61"/>
      <c r="R554" s="61"/>
      <c r="S554" s="61"/>
      <c r="T554" s="61"/>
      <c r="U554" s="61"/>
      <c r="V554" s="61"/>
      <c r="W554" s="61"/>
      <c r="X554" s="61"/>
      <c r="Y554" s="61"/>
      <c r="Z554" s="61"/>
      <c r="AA554" s="61"/>
      <c r="AB554" s="61"/>
      <c r="AC554" s="61"/>
      <c r="AD554" s="61"/>
    </row>
    <row r="555" spans="1:30" outlineLevel="1">
      <c r="A555" s="214" t="s">
        <v>188</v>
      </c>
      <c r="B555" s="214" t="s">
        <v>284</v>
      </c>
      <c r="C555" s="42"/>
      <c r="D555" s="292">
        <v>0.8</v>
      </c>
      <c r="E555" s="292">
        <f t="shared" ref="E555:AD558" si="224">D555</f>
        <v>0.8</v>
      </c>
      <c r="F555" s="292">
        <f t="shared" si="224"/>
        <v>0.8</v>
      </c>
      <c r="G555" s="292">
        <f t="shared" si="224"/>
        <v>0.8</v>
      </c>
      <c r="H555" s="292">
        <f t="shared" si="224"/>
        <v>0.8</v>
      </c>
      <c r="I555" s="292">
        <f t="shared" si="224"/>
        <v>0.8</v>
      </c>
      <c r="J555" s="292">
        <f t="shared" si="224"/>
        <v>0.8</v>
      </c>
      <c r="K555" s="292">
        <f t="shared" si="224"/>
        <v>0.8</v>
      </c>
      <c r="L555" s="292">
        <f t="shared" si="224"/>
        <v>0.8</v>
      </c>
      <c r="M555" s="292">
        <f t="shared" si="224"/>
        <v>0.8</v>
      </c>
      <c r="N555" s="292">
        <f t="shared" si="224"/>
        <v>0.8</v>
      </c>
      <c r="O555" s="292">
        <f t="shared" si="224"/>
        <v>0.8</v>
      </c>
      <c r="P555" s="292">
        <f t="shared" si="224"/>
        <v>0.8</v>
      </c>
      <c r="Q555" s="292">
        <f t="shared" si="224"/>
        <v>0.8</v>
      </c>
      <c r="R555" s="292">
        <f t="shared" si="224"/>
        <v>0.8</v>
      </c>
      <c r="S555" s="292">
        <f t="shared" si="224"/>
        <v>0.8</v>
      </c>
      <c r="T555" s="292">
        <f t="shared" si="224"/>
        <v>0.8</v>
      </c>
      <c r="U555" s="292">
        <f t="shared" si="224"/>
        <v>0.8</v>
      </c>
      <c r="V555" s="292">
        <f t="shared" si="224"/>
        <v>0.8</v>
      </c>
      <c r="W555" s="292">
        <f t="shared" si="224"/>
        <v>0.8</v>
      </c>
      <c r="X555" s="292">
        <f t="shared" si="224"/>
        <v>0.8</v>
      </c>
      <c r="Y555" s="292">
        <f t="shared" si="224"/>
        <v>0.8</v>
      </c>
      <c r="Z555" s="292">
        <f t="shared" si="224"/>
        <v>0.8</v>
      </c>
      <c r="AA555" s="292">
        <f t="shared" si="224"/>
        <v>0.8</v>
      </c>
      <c r="AB555" s="292">
        <f t="shared" si="224"/>
        <v>0.8</v>
      </c>
      <c r="AC555" s="292">
        <f t="shared" si="224"/>
        <v>0.8</v>
      </c>
      <c r="AD555" s="292">
        <f t="shared" si="224"/>
        <v>0.8</v>
      </c>
    </row>
    <row r="556" spans="1:30" outlineLevel="1">
      <c r="A556" s="214" t="s">
        <v>189</v>
      </c>
      <c r="B556" s="214" t="s">
        <v>284</v>
      </c>
      <c r="C556" s="42"/>
      <c r="D556" s="292">
        <v>0.2</v>
      </c>
      <c r="E556" s="292">
        <f t="shared" si="224"/>
        <v>0.2</v>
      </c>
      <c r="F556" s="292">
        <f t="shared" si="224"/>
        <v>0.2</v>
      </c>
      <c r="G556" s="292">
        <f t="shared" si="224"/>
        <v>0.2</v>
      </c>
      <c r="H556" s="292">
        <f t="shared" si="224"/>
        <v>0.2</v>
      </c>
      <c r="I556" s="292">
        <f t="shared" si="224"/>
        <v>0.2</v>
      </c>
      <c r="J556" s="292">
        <f t="shared" si="224"/>
        <v>0.2</v>
      </c>
      <c r="K556" s="292">
        <f t="shared" si="224"/>
        <v>0.2</v>
      </c>
      <c r="L556" s="292">
        <f t="shared" si="224"/>
        <v>0.2</v>
      </c>
      <c r="M556" s="292">
        <f t="shared" si="224"/>
        <v>0.2</v>
      </c>
      <c r="N556" s="292">
        <f t="shared" si="224"/>
        <v>0.2</v>
      </c>
      <c r="O556" s="292">
        <f t="shared" si="224"/>
        <v>0.2</v>
      </c>
      <c r="P556" s="292">
        <f t="shared" si="224"/>
        <v>0.2</v>
      </c>
      <c r="Q556" s="292">
        <f t="shared" si="224"/>
        <v>0.2</v>
      </c>
      <c r="R556" s="292">
        <f t="shared" si="224"/>
        <v>0.2</v>
      </c>
      <c r="S556" s="292">
        <f t="shared" si="224"/>
        <v>0.2</v>
      </c>
      <c r="T556" s="292">
        <f t="shared" si="224"/>
        <v>0.2</v>
      </c>
      <c r="U556" s="292">
        <f t="shared" si="224"/>
        <v>0.2</v>
      </c>
      <c r="V556" s="292">
        <f t="shared" si="224"/>
        <v>0.2</v>
      </c>
      <c r="W556" s="292">
        <f t="shared" si="224"/>
        <v>0.2</v>
      </c>
      <c r="X556" s="292">
        <f t="shared" si="224"/>
        <v>0.2</v>
      </c>
      <c r="Y556" s="292">
        <f t="shared" si="224"/>
        <v>0.2</v>
      </c>
      <c r="Z556" s="292">
        <f t="shared" si="224"/>
        <v>0.2</v>
      </c>
      <c r="AA556" s="292">
        <f t="shared" si="224"/>
        <v>0.2</v>
      </c>
      <c r="AB556" s="292">
        <f t="shared" si="224"/>
        <v>0.2</v>
      </c>
      <c r="AC556" s="292">
        <f t="shared" si="224"/>
        <v>0.2</v>
      </c>
      <c r="AD556" s="292">
        <f t="shared" si="224"/>
        <v>0.2</v>
      </c>
    </row>
    <row r="557" spans="1:30" outlineLevel="1">
      <c r="A557" s="214" t="s">
        <v>183</v>
      </c>
      <c r="B557" s="214" t="s">
        <v>284</v>
      </c>
      <c r="C557" s="42"/>
      <c r="D557" s="292">
        <v>0.05</v>
      </c>
      <c r="E557" s="292">
        <f t="shared" si="224"/>
        <v>0.05</v>
      </c>
      <c r="F557" s="292">
        <f t="shared" si="224"/>
        <v>0.05</v>
      </c>
      <c r="G557" s="292">
        <f t="shared" si="224"/>
        <v>0.05</v>
      </c>
      <c r="H557" s="292">
        <f t="shared" si="224"/>
        <v>0.05</v>
      </c>
      <c r="I557" s="292">
        <f t="shared" si="224"/>
        <v>0.05</v>
      </c>
      <c r="J557" s="292">
        <f t="shared" si="224"/>
        <v>0.05</v>
      </c>
      <c r="K557" s="292">
        <f t="shared" si="224"/>
        <v>0.05</v>
      </c>
      <c r="L557" s="292">
        <f t="shared" si="224"/>
        <v>0.05</v>
      </c>
      <c r="M557" s="292">
        <f t="shared" si="224"/>
        <v>0.05</v>
      </c>
      <c r="N557" s="292">
        <f t="shared" si="224"/>
        <v>0.05</v>
      </c>
      <c r="O557" s="292">
        <f t="shared" si="224"/>
        <v>0.05</v>
      </c>
      <c r="P557" s="292">
        <f t="shared" si="224"/>
        <v>0.05</v>
      </c>
      <c r="Q557" s="292">
        <f t="shared" si="224"/>
        <v>0.05</v>
      </c>
      <c r="R557" s="292">
        <f t="shared" si="224"/>
        <v>0.05</v>
      </c>
      <c r="S557" s="292">
        <f t="shared" si="224"/>
        <v>0.05</v>
      </c>
      <c r="T557" s="292">
        <f t="shared" si="224"/>
        <v>0.05</v>
      </c>
      <c r="U557" s="292">
        <f t="shared" si="224"/>
        <v>0.05</v>
      </c>
      <c r="V557" s="292">
        <f t="shared" si="224"/>
        <v>0.05</v>
      </c>
      <c r="W557" s="292">
        <f t="shared" si="224"/>
        <v>0.05</v>
      </c>
      <c r="X557" s="292">
        <f t="shared" si="224"/>
        <v>0.05</v>
      </c>
      <c r="Y557" s="292">
        <f t="shared" si="224"/>
        <v>0.05</v>
      </c>
      <c r="Z557" s="292">
        <f t="shared" si="224"/>
        <v>0.05</v>
      </c>
      <c r="AA557" s="292">
        <f t="shared" si="224"/>
        <v>0.05</v>
      </c>
      <c r="AB557" s="292">
        <f t="shared" si="224"/>
        <v>0.05</v>
      </c>
      <c r="AC557" s="292">
        <f t="shared" si="224"/>
        <v>0.05</v>
      </c>
      <c r="AD557" s="292">
        <f t="shared" si="224"/>
        <v>0.05</v>
      </c>
    </row>
    <row r="558" spans="1:30" outlineLevel="1">
      <c r="A558" s="214" t="s">
        <v>184</v>
      </c>
      <c r="B558" s="214" t="s">
        <v>284</v>
      </c>
      <c r="C558" s="42"/>
      <c r="D558" s="292">
        <v>0.11</v>
      </c>
      <c r="E558" s="292">
        <f t="shared" si="224"/>
        <v>0.11</v>
      </c>
      <c r="F558" s="292">
        <f t="shared" si="224"/>
        <v>0.11</v>
      </c>
      <c r="G558" s="292">
        <f t="shared" si="224"/>
        <v>0.11</v>
      </c>
      <c r="H558" s="292">
        <f t="shared" si="224"/>
        <v>0.11</v>
      </c>
      <c r="I558" s="292">
        <f t="shared" si="224"/>
        <v>0.11</v>
      </c>
      <c r="J558" s="292">
        <f t="shared" si="224"/>
        <v>0.11</v>
      </c>
      <c r="K558" s="292">
        <f t="shared" si="224"/>
        <v>0.11</v>
      </c>
      <c r="L558" s="292">
        <f t="shared" si="224"/>
        <v>0.11</v>
      </c>
      <c r="M558" s="292">
        <f t="shared" si="224"/>
        <v>0.11</v>
      </c>
      <c r="N558" s="292">
        <f t="shared" si="224"/>
        <v>0.11</v>
      </c>
      <c r="O558" s="292">
        <f t="shared" si="224"/>
        <v>0.11</v>
      </c>
      <c r="P558" s="292">
        <f t="shared" si="224"/>
        <v>0.11</v>
      </c>
      <c r="Q558" s="292">
        <f t="shared" si="224"/>
        <v>0.11</v>
      </c>
      <c r="R558" s="292">
        <f t="shared" si="224"/>
        <v>0.11</v>
      </c>
      <c r="S558" s="292">
        <f t="shared" si="224"/>
        <v>0.11</v>
      </c>
      <c r="T558" s="292">
        <f t="shared" si="224"/>
        <v>0.11</v>
      </c>
      <c r="U558" s="292">
        <f t="shared" si="224"/>
        <v>0.11</v>
      </c>
      <c r="V558" s="292">
        <f t="shared" si="224"/>
        <v>0.11</v>
      </c>
      <c r="W558" s="292">
        <f t="shared" si="224"/>
        <v>0.11</v>
      </c>
      <c r="X558" s="292">
        <f t="shared" si="224"/>
        <v>0.11</v>
      </c>
      <c r="Y558" s="292">
        <f t="shared" si="224"/>
        <v>0.11</v>
      </c>
      <c r="Z558" s="292">
        <f t="shared" si="224"/>
        <v>0.11</v>
      </c>
      <c r="AA558" s="292">
        <f t="shared" si="224"/>
        <v>0.11</v>
      </c>
      <c r="AB558" s="292">
        <f t="shared" si="224"/>
        <v>0.11</v>
      </c>
      <c r="AC558" s="292">
        <f t="shared" si="224"/>
        <v>0.11</v>
      </c>
      <c r="AD558" s="292">
        <f t="shared" si="224"/>
        <v>0.11</v>
      </c>
    </row>
    <row r="559" spans="1:30" s="45" customFormat="1" outlineLevel="1">
      <c r="A559" s="45" t="str">
        <f>A553</f>
        <v>Insurance, Audit &amp; Legal</v>
      </c>
      <c r="B559" s="13" t="s">
        <v>284</v>
      </c>
      <c r="C559" s="42">
        <f>SUM(D559:AD559)</f>
        <v>31.320000000000004</v>
      </c>
      <c r="D559" s="101">
        <f t="shared" ref="D559:AD559" si="225">SUM(D555:D558)</f>
        <v>1.1600000000000001</v>
      </c>
      <c r="E559" s="101">
        <f t="shared" si="225"/>
        <v>1.1600000000000001</v>
      </c>
      <c r="F559" s="101">
        <f t="shared" si="225"/>
        <v>1.1600000000000001</v>
      </c>
      <c r="G559" s="101">
        <f t="shared" si="225"/>
        <v>1.1600000000000001</v>
      </c>
      <c r="H559" s="101">
        <f t="shared" si="225"/>
        <v>1.1600000000000001</v>
      </c>
      <c r="I559" s="101">
        <f t="shared" si="225"/>
        <v>1.1600000000000001</v>
      </c>
      <c r="J559" s="101">
        <f t="shared" si="225"/>
        <v>1.1600000000000001</v>
      </c>
      <c r="K559" s="101">
        <f t="shared" si="225"/>
        <v>1.1600000000000001</v>
      </c>
      <c r="L559" s="101">
        <f t="shared" si="225"/>
        <v>1.1600000000000001</v>
      </c>
      <c r="M559" s="101">
        <f t="shared" si="225"/>
        <v>1.1600000000000001</v>
      </c>
      <c r="N559" s="101">
        <f t="shared" si="225"/>
        <v>1.1600000000000001</v>
      </c>
      <c r="O559" s="101">
        <f t="shared" si="225"/>
        <v>1.1600000000000001</v>
      </c>
      <c r="P559" s="101">
        <f t="shared" si="225"/>
        <v>1.1600000000000001</v>
      </c>
      <c r="Q559" s="101">
        <f t="shared" si="225"/>
        <v>1.1600000000000001</v>
      </c>
      <c r="R559" s="101">
        <f t="shared" si="225"/>
        <v>1.1600000000000001</v>
      </c>
      <c r="S559" s="101">
        <f t="shared" si="225"/>
        <v>1.1600000000000001</v>
      </c>
      <c r="T559" s="101">
        <f t="shared" si="225"/>
        <v>1.1600000000000001</v>
      </c>
      <c r="U559" s="101">
        <f t="shared" si="225"/>
        <v>1.1600000000000001</v>
      </c>
      <c r="V559" s="101">
        <f t="shared" si="225"/>
        <v>1.1600000000000001</v>
      </c>
      <c r="W559" s="101">
        <f t="shared" si="225"/>
        <v>1.1600000000000001</v>
      </c>
      <c r="X559" s="101">
        <f t="shared" si="225"/>
        <v>1.1600000000000001</v>
      </c>
      <c r="Y559" s="101">
        <f t="shared" si="225"/>
        <v>1.1600000000000001</v>
      </c>
      <c r="Z559" s="101">
        <f t="shared" si="225"/>
        <v>1.1600000000000001</v>
      </c>
      <c r="AA559" s="101">
        <f t="shared" si="225"/>
        <v>1.1600000000000001</v>
      </c>
      <c r="AB559" s="101">
        <f t="shared" si="225"/>
        <v>1.1600000000000001</v>
      </c>
      <c r="AC559" s="101">
        <f t="shared" si="225"/>
        <v>1.1600000000000001</v>
      </c>
      <c r="AD559" s="101">
        <f t="shared" si="225"/>
        <v>1.1600000000000001</v>
      </c>
    </row>
    <row r="560" spans="1:30" s="45" customFormat="1" ht="12.65" customHeight="1" outlineLevel="1">
      <c r="B560" s="13"/>
      <c r="C560" s="44"/>
      <c r="D560" s="57"/>
      <c r="E560" s="57"/>
      <c r="F560" s="57"/>
      <c r="G560" s="57"/>
      <c r="H560" s="57"/>
      <c r="I560" s="57"/>
      <c r="J560" s="57"/>
      <c r="K560" s="57"/>
      <c r="L560" s="57"/>
      <c r="M560" s="57"/>
      <c r="N560" s="57"/>
      <c r="O560" s="57"/>
      <c r="P560" s="57"/>
      <c r="Q560" s="57"/>
      <c r="R560" s="57"/>
      <c r="S560" s="57"/>
      <c r="T560" s="57"/>
      <c r="U560" s="57"/>
      <c r="V560" s="57"/>
      <c r="W560" s="57"/>
      <c r="X560" s="57"/>
      <c r="Y560" s="57"/>
      <c r="Z560" s="57"/>
      <c r="AA560" s="57"/>
      <c r="AB560" s="57"/>
      <c r="AC560" s="57"/>
      <c r="AD560" s="57"/>
    </row>
    <row r="561" spans="1:30" s="116" customFormat="1" ht="23.4" customHeight="1" outlineLevel="1">
      <c r="A561" s="146" t="s">
        <v>186</v>
      </c>
      <c r="B561" s="114"/>
      <c r="C561" s="40"/>
      <c r="D561" s="115"/>
      <c r="E561" s="115"/>
      <c r="F561" s="115"/>
      <c r="G561" s="115"/>
      <c r="H561" s="115"/>
      <c r="I561" s="115"/>
      <c r="J561" s="115"/>
      <c r="K561" s="115"/>
      <c r="L561" s="115"/>
      <c r="M561" s="115"/>
      <c r="N561" s="115"/>
      <c r="O561" s="115"/>
      <c r="P561" s="115"/>
      <c r="Q561" s="115"/>
      <c r="R561" s="115"/>
      <c r="S561" s="115"/>
      <c r="T561" s="115"/>
      <c r="U561" s="115"/>
      <c r="V561" s="115"/>
      <c r="W561" s="115"/>
      <c r="X561" s="115"/>
      <c r="Y561" s="115"/>
      <c r="Z561" s="115"/>
      <c r="AA561" s="115"/>
      <c r="AB561" s="115"/>
      <c r="AC561" s="115"/>
      <c r="AD561" s="115"/>
    </row>
    <row r="562" spans="1:30" s="62" customFormat="1" outlineLevel="1">
      <c r="A562" s="13" t="s">
        <v>563</v>
      </c>
      <c r="B562" s="60"/>
      <c r="C562" s="42"/>
      <c r="D562" s="61"/>
      <c r="E562" s="61"/>
      <c r="F562" s="61"/>
      <c r="G562" s="61"/>
      <c r="H562" s="61"/>
      <c r="I562" s="61"/>
      <c r="J562" s="61"/>
      <c r="K562" s="61"/>
      <c r="L562" s="61"/>
      <c r="M562" s="61"/>
      <c r="N562" s="61"/>
      <c r="O562" s="61"/>
      <c r="P562" s="61"/>
      <c r="Q562" s="61"/>
      <c r="R562" s="61"/>
      <c r="S562" s="61"/>
      <c r="T562" s="61"/>
      <c r="U562" s="61"/>
      <c r="V562" s="61"/>
      <c r="W562" s="61"/>
      <c r="X562" s="61"/>
      <c r="Y562" s="61"/>
      <c r="Z562" s="61"/>
      <c r="AA562" s="61"/>
      <c r="AB562" s="61"/>
      <c r="AC562" s="61"/>
      <c r="AD562" s="61"/>
    </row>
    <row r="563" spans="1:30" outlineLevel="1">
      <c r="A563" s="214" t="s">
        <v>341</v>
      </c>
      <c r="B563" s="214" t="s">
        <v>284</v>
      </c>
      <c r="C563" s="42"/>
      <c r="D563" s="292">
        <v>0.18</v>
      </c>
      <c r="E563" s="292">
        <f t="shared" ref="E563:AD565" si="226">D563</f>
        <v>0.18</v>
      </c>
      <c r="F563" s="292">
        <f t="shared" si="226"/>
        <v>0.18</v>
      </c>
      <c r="G563" s="292">
        <f t="shared" si="226"/>
        <v>0.18</v>
      </c>
      <c r="H563" s="292">
        <f t="shared" si="226"/>
        <v>0.18</v>
      </c>
      <c r="I563" s="292">
        <f t="shared" si="226"/>
        <v>0.18</v>
      </c>
      <c r="J563" s="292">
        <f t="shared" si="226"/>
        <v>0.18</v>
      </c>
      <c r="K563" s="292">
        <f t="shared" si="226"/>
        <v>0.18</v>
      </c>
      <c r="L563" s="292">
        <f t="shared" si="226"/>
        <v>0.18</v>
      </c>
      <c r="M563" s="292">
        <f t="shared" si="226"/>
        <v>0.18</v>
      </c>
      <c r="N563" s="292">
        <f t="shared" si="226"/>
        <v>0.18</v>
      </c>
      <c r="O563" s="292">
        <f t="shared" si="226"/>
        <v>0.18</v>
      </c>
      <c r="P563" s="292">
        <f t="shared" si="226"/>
        <v>0.18</v>
      </c>
      <c r="Q563" s="292">
        <f t="shared" si="226"/>
        <v>0.18</v>
      </c>
      <c r="R563" s="292">
        <f t="shared" si="226"/>
        <v>0.18</v>
      </c>
      <c r="S563" s="292">
        <f t="shared" si="226"/>
        <v>0.18</v>
      </c>
      <c r="T563" s="292">
        <f t="shared" si="226"/>
        <v>0.18</v>
      </c>
      <c r="U563" s="292">
        <f t="shared" si="226"/>
        <v>0.18</v>
      </c>
      <c r="V563" s="292">
        <f t="shared" si="226"/>
        <v>0.18</v>
      </c>
      <c r="W563" s="292">
        <f t="shared" si="226"/>
        <v>0.18</v>
      </c>
      <c r="X563" s="292">
        <f t="shared" si="226"/>
        <v>0.18</v>
      </c>
      <c r="Y563" s="292">
        <f t="shared" si="226"/>
        <v>0.18</v>
      </c>
      <c r="Z563" s="292">
        <f t="shared" si="226"/>
        <v>0.18</v>
      </c>
      <c r="AA563" s="292">
        <f t="shared" si="226"/>
        <v>0.18</v>
      </c>
      <c r="AB563" s="292">
        <f t="shared" si="226"/>
        <v>0.18</v>
      </c>
      <c r="AC563" s="292">
        <f t="shared" si="226"/>
        <v>0.18</v>
      </c>
      <c r="AD563" s="292">
        <f t="shared" si="226"/>
        <v>0.18</v>
      </c>
    </row>
    <row r="564" spans="1:30" outlineLevel="1">
      <c r="A564" s="214" t="s">
        <v>344</v>
      </c>
      <c r="B564" s="214" t="s">
        <v>284</v>
      </c>
      <c r="C564" s="42"/>
      <c r="D564" s="292">
        <v>0.42</v>
      </c>
      <c r="E564" s="292">
        <f t="shared" si="226"/>
        <v>0.42</v>
      </c>
      <c r="F564" s="292">
        <f t="shared" si="226"/>
        <v>0.42</v>
      </c>
      <c r="G564" s="292">
        <f t="shared" si="226"/>
        <v>0.42</v>
      </c>
      <c r="H564" s="292">
        <f t="shared" si="226"/>
        <v>0.42</v>
      </c>
      <c r="I564" s="292">
        <f t="shared" si="226"/>
        <v>0.42</v>
      </c>
      <c r="J564" s="292">
        <f t="shared" si="226"/>
        <v>0.42</v>
      </c>
      <c r="K564" s="292">
        <f t="shared" si="226"/>
        <v>0.42</v>
      </c>
      <c r="L564" s="292">
        <f t="shared" si="226"/>
        <v>0.42</v>
      </c>
      <c r="M564" s="292">
        <f t="shared" si="226"/>
        <v>0.42</v>
      </c>
      <c r="N564" s="292">
        <f t="shared" si="226"/>
        <v>0.42</v>
      </c>
      <c r="O564" s="292">
        <f t="shared" si="226"/>
        <v>0.42</v>
      </c>
      <c r="P564" s="292">
        <f t="shared" si="226"/>
        <v>0.42</v>
      </c>
      <c r="Q564" s="292">
        <f t="shared" si="226"/>
        <v>0.42</v>
      </c>
      <c r="R564" s="292">
        <f t="shared" si="226"/>
        <v>0.42</v>
      </c>
      <c r="S564" s="292">
        <f t="shared" si="226"/>
        <v>0.42</v>
      </c>
      <c r="T564" s="292">
        <f t="shared" si="226"/>
        <v>0.42</v>
      </c>
      <c r="U564" s="292">
        <f t="shared" si="226"/>
        <v>0.42</v>
      </c>
      <c r="V564" s="292">
        <f t="shared" si="226"/>
        <v>0.42</v>
      </c>
      <c r="W564" s="292">
        <f t="shared" si="226"/>
        <v>0.42</v>
      </c>
      <c r="X564" s="292">
        <f t="shared" si="226"/>
        <v>0.42</v>
      </c>
      <c r="Y564" s="292">
        <f t="shared" si="226"/>
        <v>0.42</v>
      </c>
      <c r="Z564" s="292">
        <f t="shared" si="226"/>
        <v>0.42</v>
      </c>
      <c r="AA564" s="292">
        <f t="shared" si="226"/>
        <v>0.42</v>
      </c>
      <c r="AB564" s="292">
        <f t="shared" si="226"/>
        <v>0.42</v>
      </c>
      <c r="AC564" s="292">
        <f t="shared" si="226"/>
        <v>0.42</v>
      </c>
      <c r="AD564" s="292">
        <f t="shared" si="226"/>
        <v>0.42</v>
      </c>
    </row>
    <row r="565" spans="1:30" outlineLevel="1">
      <c r="A565" s="214" t="s">
        <v>187</v>
      </c>
      <c r="B565" s="214" t="s">
        <v>284</v>
      </c>
      <c r="C565" s="42"/>
      <c r="D565" s="292">
        <v>0.25</v>
      </c>
      <c r="E565" s="292">
        <f t="shared" si="226"/>
        <v>0.25</v>
      </c>
      <c r="F565" s="292">
        <f t="shared" si="226"/>
        <v>0.25</v>
      </c>
      <c r="G565" s="292">
        <f t="shared" si="226"/>
        <v>0.25</v>
      </c>
      <c r="H565" s="292">
        <f t="shared" si="226"/>
        <v>0.25</v>
      </c>
      <c r="I565" s="292">
        <f t="shared" si="226"/>
        <v>0.25</v>
      </c>
      <c r="J565" s="292">
        <f t="shared" si="226"/>
        <v>0.25</v>
      </c>
      <c r="K565" s="292">
        <f t="shared" si="226"/>
        <v>0.25</v>
      </c>
      <c r="L565" s="292">
        <f t="shared" si="226"/>
        <v>0.25</v>
      </c>
      <c r="M565" s="292">
        <f t="shared" si="226"/>
        <v>0.25</v>
      </c>
      <c r="N565" s="292">
        <f t="shared" si="226"/>
        <v>0.25</v>
      </c>
      <c r="O565" s="292">
        <f t="shared" si="226"/>
        <v>0.25</v>
      </c>
      <c r="P565" s="292">
        <f t="shared" si="226"/>
        <v>0.25</v>
      </c>
      <c r="Q565" s="292">
        <f t="shared" si="226"/>
        <v>0.25</v>
      </c>
      <c r="R565" s="292">
        <f t="shared" si="226"/>
        <v>0.25</v>
      </c>
      <c r="S565" s="292">
        <f t="shared" si="226"/>
        <v>0.25</v>
      </c>
      <c r="T565" s="292">
        <f t="shared" si="226"/>
        <v>0.25</v>
      </c>
      <c r="U565" s="292">
        <f t="shared" si="226"/>
        <v>0.25</v>
      </c>
      <c r="V565" s="292">
        <f t="shared" si="226"/>
        <v>0.25</v>
      </c>
      <c r="W565" s="292">
        <f t="shared" si="226"/>
        <v>0.25</v>
      </c>
      <c r="X565" s="292">
        <f t="shared" si="226"/>
        <v>0.25</v>
      </c>
      <c r="Y565" s="292">
        <f t="shared" si="226"/>
        <v>0.25</v>
      </c>
      <c r="Z565" s="292">
        <f t="shared" si="226"/>
        <v>0.25</v>
      </c>
      <c r="AA565" s="292">
        <f t="shared" si="226"/>
        <v>0.25</v>
      </c>
      <c r="AB565" s="292">
        <f t="shared" si="226"/>
        <v>0.25</v>
      </c>
      <c r="AC565" s="292">
        <f t="shared" si="226"/>
        <v>0.25</v>
      </c>
      <c r="AD565" s="292">
        <f t="shared" si="226"/>
        <v>0.25</v>
      </c>
    </row>
    <row r="566" spans="1:30" s="45" customFormat="1" outlineLevel="1">
      <c r="A566" s="45" t="str">
        <f>A561</f>
        <v>Licences, Permits, Fees</v>
      </c>
      <c r="B566" s="13" t="s">
        <v>284</v>
      </c>
      <c r="C566" s="42">
        <f>SUM(D566:AD566)</f>
        <v>12.749999999999996</v>
      </c>
      <c r="D566" s="101">
        <f t="shared" ref="D566:AD566" si="227">IF(D$154=0,0,SUM(D563:D565))</f>
        <v>0</v>
      </c>
      <c r="E566" s="101">
        <f t="shared" si="227"/>
        <v>0</v>
      </c>
      <c r="F566" s="101">
        <f t="shared" si="227"/>
        <v>0.85</v>
      </c>
      <c r="G566" s="101">
        <f t="shared" si="227"/>
        <v>0.85</v>
      </c>
      <c r="H566" s="101">
        <f t="shared" si="227"/>
        <v>0.85</v>
      </c>
      <c r="I566" s="101">
        <f t="shared" si="227"/>
        <v>0.85</v>
      </c>
      <c r="J566" s="101">
        <f t="shared" si="227"/>
        <v>0.85</v>
      </c>
      <c r="K566" s="101">
        <f t="shared" si="227"/>
        <v>0.85</v>
      </c>
      <c r="L566" s="101">
        <f t="shared" si="227"/>
        <v>0.85</v>
      </c>
      <c r="M566" s="101">
        <f t="shared" si="227"/>
        <v>0.85</v>
      </c>
      <c r="N566" s="101">
        <f t="shared" si="227"/>
        <v>0.85</v>
      </c>
      <c r="O566" s="101">
        <f t="shared" si="227"/>
        <v>0.85</v>
      </c>
      <c r="P566" s="101">
        <f t="shared" si="227"/>
        <v>0.85</v>
      </c>
      <c r="Q566" s="101">
        <f t="shared" si="227"/>
        <v>0.85</v>
      </c>
      <c r="R566" s="101">
        <f t="shared" si="227"/>
        <v>0.85</v>
      </c>
      <c r="S566" s="101">
        <f t="shared" si="227"/>
        <v>0.85</v>
      </c>
      <c r="T566" s="101">
        <f t="shared" si="227"/>
        <v>0.85</v>
      </c>
      <c r="U566" s="101">
        <f t="shared" si="227"/>
        <v>0</v>
      </c>
      <c r="V566" s="101">
        <f t="shared" si="227"/>
        <v>0</v>
      </c>
      <c r="W566" s="101">
        <f t="shared" si="227"/>
        <v>0</v>
      </c>
      <c r="X566" s="101">
        <f t="shared" si="227"/>
        <v>0</v>
      </c>
      <c r="Y566" s="101">
        <f t="shared" si="227"/>
        <v>0</v>
      </c>
      <c r="Z566" s="101">
        <f t="shared" si="227"/>
        <v>0</v>
      </c>
      <c r="AA566" s="101">
        <f t="shared" si="227"/>
        <v>0</v>
      </c>
      <c r="AB566" s="101">
        <f t="shared" si="227"/>
        <v>0</v>
      </c>
      <c r="AC566" s="101">
        <f t="shared" si="227"/>
        <v>0</v>
      </c>
      <c r="AD566" s="101">
        <f t="shared" si="227"/>
        <v>0</v>
      </c>
    </row>
    <row r="567" spans="1:30" s="62" customFormat="1" outlineLevel="1">
      <c r="A567" s="41"/>
      <c r="B567" s="60"/>
      <c r="C567" s="42"/>
      <c r="D567" s="61"/>
      <c r="E567" s="61"/>
      <c r="F567" s="61"/>
      <c r="G567" s="61"/>
      <c r="H567" s="61"/>
      <c r="I567" s="61"/>
      <c r="J567" s="61"/>
      <c r="K567" s="61"/>
      <c r="L567" s="61"/>
      <c r="M567" s="61"/>
      <c r="N567" s="61"/>
      <c r="O567" s="61"/>
      <c r="P567" s="61"/>
      <c r="Q567" s="61"/>
      <c r="R567" s="61"/>
      <c r="S567" s="61"/>
      <c r="T567" s="61"/>
      <c r="U567" s="61"/>
      <c r="V567" s="61"/>
      <c r="W567" s="61"/>
      <c r="X567" s="61"/>
      <c r="Y567" s="61"/>
      <c r="Z567" s="61"/>
      <c r="AA567" s="61"/>
      <c r="AB567" s="61"/>
      <c r="AC567" s="61"/>
      <c r="AD567" s="61"/>
    </row>
    <row r="568" spans="1:30" s="116" customFormat="1" ht="23.4" customHeight="1" outlineLevel="1">
      <c r="A568" s="146" t="s">
        <v>371</v>
      </c>
      <c r="B568" s="114"/>
      <c r="C568" s="40"/>
      <c r="D568" s="115"/>
      <c r="E568" s="115"/>
      <c r="F568" s="115"/>
      <c r="G568" s="115"/>
      <c r="H568" s="115"/>
      <c r="I568" s="115"/>
      <c r="J568" s="115"/>
      <c r="K568" s="115"/>
      <c r="L568" s="115"/>
      <c r="M568" s="115"/>
      <c r="N568" s="115"/>
      <c r="O568" s="115"/>
      <c r="P568" s="115"/>
      <c r="Q568" s="115"/>
      <c r="R568" s="115"/>
      <c r="S568" s="115"/>
      <c r="T568" s="115"/>
      <c r="U568" s="115"/>
      <c r="V568" s="115"/>
      <c r="W568" s="115"/>
      <c r="X568" s="115"/>
      <c r="Y568" s="115"/>
      <c r="Z568" s="115"/>
      <c r="AA568" s="115"/>
      <c r="AB568" s="115"/>
      <c r="AC568" s="115"/>
      <c r="AD568" s="115"/>
    </row>
    <row r="569" spans="1:30" s="65" customFormat="1" outlineLevel="1">
      <c r="A569" s="13" t="s">
        <v>564</v>
      </c>
      <c r="B569" s="52"/>
      <c r="C569" s="54"/>
      <c r="D569" s="54"/>
      <c r="E569" s="54"/>
      <c r="F569" s="54"/>
      <c r="G569" s="54"/>
      <c r="H569" s="54"/>
      <c r="I569" s="54"/>
      <c r="J569" s="54"/>
      <c r="K569" s="54"/>
      <c r="L569" s="54"/>
      <c r="M569" s="54"/>
      <c r="N569" s="54"/>
      <c r="O569" s="54"/>
      <c r="P569" s="54"/>
      <c r="Q569" s="54"/>
      <c r="R569" s="54"/>
      <c r="S569" s="54"/>
      <c r="T569" s="54"/>
      <c r="U569" s="54"/>
      <c r="V569" s="54"/>
      <c r="W569" s="54"/>
      <c r="X569" s="54"/>
      <c r="Y569" s="54"/>
      <c r="Z569" s="54"/>
      <c r="AA569" s="54"/>
      <c r="AB569" s="54"/>
      <c r="AC569" s="54"/>
      <c r="AD569" s="54"/>
    </row>
    <row r="570" spans="1:30" s="45" customFormat="1" outlineLevel="1">
      <c r="A570" s="45" t="str">
        <f>A154</f>
        <v>ore feed to processing - aggregate</v>
      </c>
      <c r="B570" s="45" t="str">
        <f>B154</f>
        <v>millions dry tonnes</v>
      </c>
      <c r="C570" s="42">
        <f>SUM(D570:AD570)</f>
        <v>117.99999999999999</v>
      </c>
      <c r="D570" s="42">
        <f t="shared" ref="D570:AD570" si="228">D154</f>
        <v>0</v>
      </c>
      <c r="E570" s="42">
        <f t="shared" si="228"/>
        <v>0</v>
      </c>
      <c r="F570" s="42">
        <f t="shared" si="228"/>
        <v>5.0769230769230766</v>
      </c>
      <c r="G570" s="42">
        <f t="shared" si="228"/>
        <v>8</v>
      </c>
      <c r="H570" s="42">
        <f t="shared" si="228"/>
        <v>8</v>
      </c>
      <c r="I570" s="42">
        <f t="shared" si="228"/>
        <v>8</v>
      </c>
      <c r="J570" s="42">
        <f t="shared" si="228"/>
        <v>8.3461538461538467</v>
      </c>
      <c r="K570" s="42">
        <f t="shared" si="228"/>
        <v>7.6538461538461533</v>
      </c>
      <c r="L570" s="42">
        <f t="shared" si="228"/>
        <v>8</v>
      </c>
      <c r="M570" s="42">
        <f t="shared" si="228"/>
        <v>8</v>
      </c>
      <c r="N570" s="42">
        <f t="shared" si="228"/>
        <v>8</v>
      </c>
      <c r="O570" s="42">
        <f t="shared" si="228"/>
        <v>8</v>
      </c>
      <c r="P570" s="42">
        <f t="shared" si="228"/>
        <v>8</v>
      </c>
      <c r="Q570" s="42">
        <f t="shared" si="228"/>
        <v>8</v>
      </c>
      <c r="R570" s="42">
        <f t="shared" si="228"/>
        <v>8</v>
      </c>
      <c r="S570" s="42">
        <f t="shared" si="228"/>
        <v>8</v>
      </c>
      <c r="T570" s="42">
        <f t="shared" si="228"/>
        <v>8.9230769230769234</v>
      </c>
      <c r="U570" s="42">
        <f t="shared" si="228"/>
        <v>0</v>
      </c>
      <c r="V570" s="42">
        <f t="shared" si="228"/>
        <v>0</v>
      </c>
      <c r="W570" s="42">
        <f t="shared" si="228"/>
        <v>0</v>
      </c>
      <c r="X570" s="42">
        <f t="shared" si="228"/>
        <v>0</v>
      </c>
      <c r="Y570" s="42">
        <f t="shared" si="228"/>
        <v>0</v>
      </c>
      <c r="Z570" s="42">
        <f t="shared" si="228"/>
        <v>0</v>
      </c>
      <c r="AA570" s="42">
        <f t="shared" si="228"/>
        <v>0</v>
      </c>
      <c r="AB570" s="42">
        <f t="shared" si="228"/>
        <v>0</v>
      </c>
      <c r="AC570" s="42">
        <f t="shared" si="228"/>
        <v>0</v>
      </c>
      <c r="AD570" s="42">
        <f t="shared" si="228"/>
        <v>0</v>
      </c>
    </row>
    <row r="571" spans="1:30" outlineLevel="1">
      <c r="A571" s="214" t="s">
        <v>372</v>
      </c>
      <c r="B571" s="214" t="s">
        <v>284</v>
      </c>
      <c r="C571" s="42"/>
      <c r="D571" s="292">
        <v>0.38</v>
      </c>
      <c r="E571" s="292">
        <f t="shared" ref="E571:AD571" si="229">D571</f>
        <v>0.38</v>
      </c>
      <c r="F571" s="292">
        <f t="shared" si="229"/>
        <v>0.38</v>
      </c>
      <c r="G571" s="292">
        <f t="shared" si="229"/>
        <v>0.38</v>
      </c>
      <c r="H571" s="292">
        <f t="shared" si="229"/>
        <v>0.38</v>
      </c>
      <c r="I571" s="292">
        <f t="shared" si="229"/>
        <v>0.38</v>
      </c>
      <c r="J571" s="292">
        <f t="shared" si="229"/>
        <v>0.38</v>
      </c>
      <c r="K571" s="292">
        <f t="shared" si="229"/>
        <v>0.38</v>
      </c>
      <c r="L571" s="292">
        <f t="shared" si="229"/>
        <v>0.38</v>
      </c>
      <c r="M571" s="292">
        <f t="shared" si="229"/>
        <v>0.38</v>
      </c>
      <c r="N571" s="292">
        <f t="shared" si="229"/>
        <v>0.38</v>
      </c>
      <c r="O571" s="292">
        <f t="shared" si="229"/>
        <v>0.38</v>
      </c>
      <c r="P571" s="292">
        <f t="shared" si="229"/>
        <v>0.38</v>
      </c>
      <c r="Q571" s="292">
        <f t="shared" si="229"/>
        <v>0.38</v>
      </c>
      <c r="R571" s="292">
        <f t="shared" si="229"/>
        <v>0.38</v>
      </c>
      <c r="S571" s="292">
        <f t="shared" si="229"/>
        <v>0.38</v>
      </c>
      <c r="T571" s="292">
        <f t="shared" si="229"/>
        <v>0.38</v>
      </c>
      <c r="U571" s="292">
        <f t="shared" si="229"/>
        <v>0.38</v>
      </c>
      <c r="V571" s="292">
        <f t="shared" si="229"/>
        <v>0.38</v>
      </c>
      <c r="W571" s="292">
        <f t="shared" si="229"/>
        <v>0.38</v>
      </c>
      <c r="X571" s="292">
        <f t="shared" si="229"/>
        <v>0.38</v>
      </c>
      <c r="Y571" s="292">
        <f t="shared" si="229"/>
        <v>0.38</v>
      </c>
      <c r="Z571" s="292">
        <f t="shared" si="229"/>
        <v>0.38</v>
      </c>
      <c r="AA571" s="292">
        <f t="shared" si="229"/>
        <v>0.38</v>
      </c>
      <c r="AB571" s="292">
        <f t="shared" si="229"/>
        <v>0.38</v>
      </c>
      <c r="AC571" s="292">
        <f t="shared" si="229"/>
        <v>0.38</v>
      </c>
      <c r="AD571" s="292">
        <f t="shared" si="229"/>
        <v>0.38</v>
      </c>
    </row>
    <row r="572" spans="1:30" s="45" customFormat="1" outlineLevel="1">
      <c r="A572" s="45" t="str">
        <f>A568</f>
        <v>Head Office - incremental</v>
      </c>
      <c r="B572" s="13" t="s">
        <v>407</v>
      </c>
      <c r="C572" s="42">
        <f>SUM(D572:AD572)</f>
        <v>5.6999999999999993</v>
      </c>
      <c r="D572" s="101">
        <f t="shared" ref="D572:AD572" si="230">IF(D154=0,0,D571)</f>
        <v>0</v>
      </c>
      <c r="E572" s="101">
        <f t="shared" si="230"/>
        <v>0</v>
      </c>
      <c r="F572" s="101">
        <f t="shared" si="230"/>
        <v>0.38</v>
      </c>
      <c r="G572" s="101">
        <f t="shared" si="230"/>
        <v>0.38</v>
      </c>
      <c r="H572" s="101">
        <f t="shared" si="230"/>
        <v>0.38</v>
      </c>
      <c r="I572" s="101">
        <f t="shared" si="230"/>
        <v>0.38</v>
      </c>
      <c r="J572" s="101">
        <f t="shared" si="230"/>
        <v>0.38</v>
      </c>
      <c r="K572" s="101">
        <f t="shared" si="230"/>
        <v>0.38</v>
      </c>
      <c r="L572" s="101">
        <f t="shared" si="230"/>
        <v>0.38</v>
      </c>
      <c r="M572" s="101">
        <f t="shared" si="230"/>
        <v>0.38</v>
      </c>
      <c r="N572" s="101">
        <f t="shared" si="230"/>
        <v>0.38</v>
      </c>
      <c r="O572" s="101">
        <f t="shared" si="230"/>
        <v>0.38</v>
      </c>
      <c r="P572" s="101">
        <f t="shared" si="230"/>
        <v>0.38</v>
      </c>
      <c r="Q572" s="101">
        <f t="shared" si="230"/>
        <v>0.38</v>
      </c>
      <c r="R572" s="101">
        <f t="shared" si="230"/>
        <v>0.38</v>
      </c>
      <c r="S572" s="101">
        <f t="shared" si="230"/>
        <v>0.38</v>
      </c>
      <c r="T572" s="101">
        <f t="shared" si="230"/>
        <v>0.38</v>
      </c>
      <c r="U572" s="101">
        <f t="shared" si="230"/>
        <v>0</v>
      </c>
      <c r="V572" s="101">
        <f t="shared" si="230"/>
        <v>0</v>
      </c>
      <c r="W572" s="101">
        <f t="shared" si="230"/>
        <v>0</v>
      </c>
      <c r="X572" s="101">
        <f t="shared" si="230"/>
        <v>0</v>
      </c>
      <c r="Y572" s="101">
        <f t="shared" si="230"/>
        <v>0</v>
      </c>
      <c r="Z572" s="101">
        <f t="shared" si="230"/>
        <v>0</v>
      </c>
      <c r="AA572" s="101">
        <f t="shared" si="230"/>
        <v>0</v>
      </c>
      <c r="AB572" s="101">
        <f t="shared" si="230"/>
        <v>0</v>
      </c>
      <c r="AC572" s="101">
        <f t="shared" si="230"/>
        <v>0</v>
      </c>
      <c r="AD572" s="101">
        <f t="shared" si="230"/>
        <v>0</v>
      </c>
    </row>
    <row r="573" spans="1:30" s="45" customFormat="1" ht="15.5" outlineLevel="1">
      <c r="A573" s="82"/>
      <c r="B573" s="13"/>
      <c r="C573" s="44"/>
      <c r="D573" s="83"/>
      <c r="E573" s="83"/>
      <c r="F573" s="83"/>
      <c r="G573" s="83"/>
      <c r="H573" s="83"/>
      <c r="I573" s="83"/>
      <c r="J573" s="83"/>
      <c r="K573" s="83"/>
      <c r="L573" s="83"/>
      <c r="M573" s="83"/>
      <c r="N573" s="83"/>
      <c r="O573" s="83"/>
      <c r="P573" s="83"/>
      <c r="Q573" s="83"/>
      <c r="R573" s="83"/>
      <c r="S573" s="83"/>
      <c r="T573" s="83"/>
      <c r="U573" s="83"/>
      <c r="V573" s="83"/>
      <c r="W573" s="83"/>
      <c r="X573" s="83"/>
      <c r="Y573" s="83"/>
      <c r="Z573" s="83"/>
      <c r="AA573" s="83"/>
      <c r="AB573" s="83"/>
      <c r="AC573" s="83"/>
      <c r="AD573" s="83"/>
    </row>
    <row r="574" spans="1:30" s="286" customFormat="1" ht="28.75" customHeight="1" outlineLevel="1">
      <c r="A574" s="127" t="s">
        <v>31</v>
      </c>
      <c r="B574" s="117" t="s">
        <v>285</v>
      </c>
      <c r="C574" s="232">
        <f>SUM(D574:AD574)</f>
        <v>419.58599999999996</v>
      </c>
      <c r="D574" s="287">
        <f t="shared" ref="D574:AD574" si="231">IF(D154=0,0,D535+D541+D551+D559+D566+D572)</f>
        <v>0</v>
      </c>
      <c r="E574" s="287">
        <f t="shared" si="231"/>
        <v>0</v>
      </c>
      <c r="F574" s="287">
        <f t="shared" si="231"/>
        <v>27.9724</v>
      </c>
      <c r="G574" s="287">
        <f t="shared" si="231"/>
        <v>27.9724</v>
      </c>
      <c r="H574" s="287">
        <f t="shared" si="231"/>
        <v>27.9724</v>
      </c>
      <c r="I574" s="287">
        <f t="shared" si="231"/>
        <v>27.9724</v>
      </c>
      <c r="J574" s="287">
        <f t="shared" si="231"/>
        <v>27.9724</v>
      </c>
      <c r="K574" s="287">
        <f t="shared" si="231"/>
        <v>27.9724</v>
      </c>
      <c r="L574" s="287">
        <f t="shared" si="231"/>
        <v>27.9724</v>
      </c>
      <c r="M574" s="287">
        <f t="shared" si="231"/>
        <v>27.9724</v>
      </c>
      <c r="N574" s="287">
        <f t="shared" si="231"/>
        <v>27.9724</v>
      </c>
      <c r="O574" s="287">
        <f t="shared" si="231"/>
        <v>27.9724</v>
      </c>
      <c r="P574" s="287">
        <f t="shared" si="231"/>
        <v>27.9724</v>
      </c>
      <c r="Q574" s="287">
        <f t="shared" si="231"/>
        <v>27.9724</v>
      </c>
      <c r="R574" s="287">
        <f t="shared" si="231"/>
        <v>27.9724</v>
      </c>
      <c r="S574" s="287">
        <f t="shared" si="231"/>
        <v>27.9724</v>
      </c>
      <c r="T574" s="287">
        <f t="shared" si="231"/>
        <v>27.9724</v>
      </c>
      <c r="U574" s="287">
        <f t="shared" si="231"/>
        <v>0</v>
      </c>
      <c r="V574" s="287">
        <f t="shared" si="231"/>
        <v>0</v>
      </c>
      <c r="W574" s="287">
        <f t="shared" si="231"/>
        <v>0</v>
      </c>
      <c r="X574" s="287">
        <f t="shared" si="231"/>
        <v>0</v>
      </c>
      <c r="Y574" s="287">
        <f t="shared" si="231"/>
        <v>0</v>
      </c>
      <c r="Z574" s="287">
        <f t="shared" si="231"/>
        <v>0</v>
      </c>
      <c r="AA574" s="287">
        <f t="shared" si="231"/>
        <v>0</v>
      </c>
      <c r="AB574" s="287">
        <f t="shared" si="231"/>
        <v>0</v>
      </c>
      <c r="AC574" s="287">
        <f t="shared" si="231"/>
        <v>0</v>
      </c>
      <c r="AD574" s="287">
        <f t="shared" si="231"/>
        <v>0</v>
      </c>
    </row>
    <row r="575" spans="1:30" s="45" customFormat="1" outlineLevel="1">
      <c r="A575" s="75" t="str">
        <f>A574&amp;"/tonne milled"</f>
        <v>General &amp; Administration/tonne milled</v>
      </c>
      <c r="B575" s="13" t="s">
        <v>303</v>
      </c>
      <c r="C575" s="57">
        <f>IF(C$154=0,0,C574/C$154)</f>
        <v>3.5558135593220341</v>
      </c>
      <c r="D575" s="57">
        <f t="shared" ref="D575:AD575" si="232">IF(D$154=0,0,D574/D$154)</f>
        <v>0</v>
      </c>
      <c r="E575" s="57">
        <f t="shared" si="232"/>
        <v>0</v>
      </c>
      <c r="F575" s="57">
        <f t="shared" si="232"/>
        <v>5.5097151515151515</v>
      </c>
      <c r="G575" s="57">
        <f t="shared" si="232"/>
        <v>3.49655</v>
      </c>
      <c r="H575" s="57">
        <f t="shared" si="232"/>
        <v>3.49655</v>
      </c>
      <c r="I575" s="57">
        <f t="shared" si="232"/>
        <v>3.49655</v>
      </c>
      <c r="J575" s="57">
        <f t="shared" si="232"/>
        <v>3.3515317972350229</v>
      </c>
      <c r="K575" s="57">
        <f t="shared" si="232"/>
        <v>3.6546854271356786</v>
      </c>
      <c r="L575" s="57">
        <f t="shared" si="232"/>
        <v>3.49655</v>
      </c>
      <c r="M575" s="57">
        <f t="shared" si="232"/>
        <v>3.49655</v>
      </c>
      <c r="N575" s="57">
        <f t="shared" si="232"/>
        <v>3.49655</v>
      </c>
      <c r="O575" s="57">
        <f t="shared" si="232"/>
        <v>3.49655</v>
      </c>
      <c r="P575" s="57">
        <f t="shared" si="232"/>
        <v>3.49655</v>
      </c>
      <c r="Q575" s="57">
        <f t="shared" si="232"/>
        <v>3.49655</v>
      </c>
      <c r="R575" s="57">
        <f t="shared" si="232"/>
        <v>3.49655</v>
      </c>
      <c r="S575" s="57">
        <f t="shared" si="232"/>
        <v>3.49655</v>
      </c>
      <c r="T575" s="57">
        <f t="shared" si="232"/>
        <v>3.1348379310344825</v>
      </c>
      <c r="U575" s="57">
        <f t="shared" si="232"/>
        <v>0</v>
      </c>
      <c r="V575" s="57">
        <f t="shared" si="232"/>
        <v>0</v>
      </c>
      <c r="W575" s="57">
        <f t="shared" si="232"/>
        <v>0</v>
      </c>
      <c r="X575" s="57">
        <f t="shared" si="232"/>
        <v>0</v>
      </c>
      <c r="Y575" s="57">
        <f t="shared" si="232"/>
        <v>0</v>
      </c>
      <c r="Z575" s="57">
        <f t="shared" si="232"/>
        <v>0</v>
      </c>
      <c r="AA575" s="57">
        <f t="shared" si="232"/>
        <v>0</v>
      </c>
      <c r="AB575" s="57">
        <f t="shared" si="232"/>
        <v>0</v>
      </c>
      <c r="AC575" s="57">
        <f t="shared" si="232"/>
        <v>0</v>
      </c>
      <c r="AD575" s="57">
        <f t="shared" si="232"/>
        <v>0</v>
      </c>
    </row>
    <row r="576" spans="1:30" s="65" customFormat="1" outlineLevel="1">
      <c r="A576" s="95"/>
      <c r="B576" s="96"/>
      <c r="C576" s="94"/>
      <c r="D576" s="67"/>
      <c r="E576" s="67"/>
      <c r="F576" s="67"/>
      <c r="G576" s="67"/>
      <c r="H576" s="67"/>
      <c r="I576" s="67"/>
      <c r="J576" s="67"/>
      <c r="K576" s="67"/>
      <c r="L576" s="67"/>
      <c r="M576" s="67"/>
      <c r="N576" s="67"/>
      <c r="O576" s="67"/>
      <c r="P576" s="67"/>
      <c r="Q576" s="67"/>
      <c r="R576" s="67"/>
      <c r="S576" s="67"/>
      <c r="T576" s="67"/>
      <c r="U576" s="67"/>
      <c r="V576" s="67"/>
      <c r="W576" s="67"/>
      <c r="X576" s="67"/>
      <c r="Y576" s="67"/>
      <c r="Z576" s="67"/>
      <c r="AA576" s="67"/>
      <c r="AB576" s="67"/>
      <c r="AC576" s="67"/>
      <c r="AD576" s="67"/>
    </row>
    <row r="577" spans="1:30" ht="54" customHeight="1">
      <c r="A577" s="23" t="s">
        <v>362</v>
      </c>
      <c r="D577" s="15"/>
      <c r="E577" s="15"/>
      <c r="F577" s="15"/>
      <c r="G577" s="15"/>
      <c r="H577" s="15"/>
      <c r="I577" s="15"/>
      <c r="J577" s="15"/>
      <c r="K577" s="15"/>
      <c r="L577" s="15"/>
      <c r="M577" s="15"/>
      <c r="N577" s="15"/>
      <c r="O577" s="15"/>
      <c r="P577" s="15"/>
      <c r="Q577" s="15"/>
      <c r="R577" s="15"/>
      <c r="S577" s="15"/>
      <c r="T577" s="15"/>
      <c r="U577" s="15"/>
      <c r="V577" s="15"/>
      <c r="W577" s="15"/>
      <c r="X577" s="15"/>
      <c r="Y577" s="15"/>
      <c r="Z577" s="15"/>
      <c r="AA577" s="15"/>
      <c r="AB577" s="15"/>
      <c r="AC577" s="15"/>
      <c r="AD577" s="15"/>
    </row>
    <row r="578" spans="1:30" s="45" customFormat="1" outlineLevel="1">
      <c r="A578" s="13" t="s">
        <v>565</v>
      </c>
      <c r="C578" s="44"/>
      <c r="D578" s="44"/>
      <c r="E578" s="44"/>
      <c r="F578" s="44"/>
      <c r="G578" s="44"/>
      <c r="H578" s="44"/>
      <c r="I578" s="44"/>
      <c r="J578" s="44"/>
      <c r="K578" s="44"/>
      <c r="L578" s="44"/>
      <c r="M578" s="44"/>
      <c r="N578" s="44"/>
      <c r="O578" s="44"/>
      <c r="P578" s="44"/>
      <c r="Q578" s="44"/>
      <c r="R578" s="44"/>
      <c r="S578" s="44"/>
      <c r="T578" s="44"/>
      <c r="U578" s="44"/>
      <c r="V578" s="44"/>
      <c r="W578" s="44"/>
      <c r="X578" s="44"/>
      <c r="Y578" s="44"/>
      <c r="Z578" s="44"/>
      <c r="AA578" s="44"/>
      <c r="AB578" s="44"/>
      <c r="AC578" s="44"/>
      <c r="AD578" s="44"/>
    </row>
    <row r="579" spans="1:30" s="45" customFormat="1" outlineLevel="1">
      <c r="A579" s="45" t="str">
        <f>A138</f>
        <v xml:space="preserve">waste - aggregate  </v>
      </c>
      <c r="B579" s="45" t="str">
        <f>B138</f>
        <v>millions dry tonnes</v>
      </c>
      <c r="C579" s="42">
        <f>SUM(D579:AD579)</f>
        <v>1039</v>
      </c>
      <c r="D579" s="42">
        <f t="shared" ref="D579:AD579" si="233">D138</f>
        <v>0</v>
      </c>
      <c r="E579" s="42">
        <f t="shared" si="233"/>
        <v>37</v>
      </c>
      <c r="F579" s="42">
        <f t="shared" si="233"/>
        <v>37</v>
      </c>
      <c r="G579" s="42">
        <f t="shared" si="233"/>
        <v>35</v>
      </c>
      <c r="H579" s="42">
        <f t="shared" si="233"/>
        <v>60</v>
      </c>
      <c r="I579" s="42">
        <f t="shared" si="233"/>
        <v>60</v>
      </c>
      <c r="J579" s="42">
        <f t="shared" si="233"/>
        <v>90</v>
      </c>
      <c r="K579" s="42">
        <f t="shared" si="233"/>
        <v>90</v>
      </c>
      <c r="L579" s="42">
        <f t="shared" si="233"/>
        <v>90</v>
      </c>
      <c r="M579" s="42">
        <f t="shared" si="233"/>
        <v>90</v>
      </c>
      <c r="N579" s="42">
        <f t="shared" si="233"/>
        <v>90</v>
      </c>
      <c r="O579" s="42">
        <f t="shared" si="233"/>
        <v>90</v>
      </c>
      <c r="P579" s="42">
        <f t="shared" si="233"/>
        <v>90</v>
      </c>
      <c r="Q579" s="42">
        <f t="shared" si="233"/>
        <v>65</v>
      </c>
      <c r="R579" s="42">
        <f t="shared" si="233"/>
        <v>65</v>
      </c>
      <c r="S579" s="42">
        <f t="shared" si="233"/>
        <v>50</v>
      </c>
      <c r="T579" s="42">
        <f t="shared" si="233"/>
        <v>0</v>
      </c>
      <c r="U579" s="42">
        <f t="shared" si="233"/>
        <v>0</v>
      </c>
      <c r="V579" s="42">
        <f t="shared" si="233"/>
        <v>0</v>
      </c>
      <c r="W579" s="42">
        <f t="shared" si="233"/>
        <v>0</v>
      </c>
      <c r="X579" s="42">
        <f t="shared" si="233"/>
        <v>0</v>
      </c>
      <c r="Y579" s="42">
        <f t="shared" si="233"/>
        <v>0</v>
      </c>
      <c r="Z579" s="42">
        <f t="shared" si="233"/>
        <v>0</v>
      </c>
      <c r="AA579" s="42">
        <f t="shared" si="233"/>
        <v>0</v>
      </c>
      <c r="AB579" s="42">
        <f t="shared" si="233"/>
        <v>0</v>
      </c>
      <c r="AC579" s="42">
        <f t="shared" si="233"/>
        <v>0</v>
      </c>
      <c r="AD579" s="42">
        <f t="shared" si="233"/>
        <v>0</v>
      </c>
    </row>
    <row r="580" spans="1:30" outlineLevel="1">
      <c r="A580" s="214" t="s">
        <v>363</v>
      </c>
      <c r="B580" s="214" t="s">
        <v>361</v>
      </c>
      <c r="C580" s="42"/>
      <c r="D580" s="288">
        <v>0.3</v>
      </c>
      <c r="E580" s="288">
        <f t="shared" ref="E580:AD580" si="234">D580</f>
        <v>0.3</v>
      </c>
      <c r="F580" s="288">
        <f t="shared" si="234"/>
        <v>0.3</v>
      </c>
      <c r="G580" s="288">
        <f t="shared" si="234"/>
        <v>0.3</v>
      </c>
      <c r="H580" s="288">
        <f t="shared" si="234"/>
        <v>0.3</v>
      </c>
      <c r="I580" s="288">
        <f t="shared" si="234"/>
        <v>0.3</v>
      </c>
      <c r="J580" s="288">
        <f t="shared" si="234"/>
        <v>0.3</v>
      </c>
      <c r="K580" s="288">
        <f t="shared" si="234"/>
        <v>0.3</v>
      </c>
      <c r="L580" s="288">
        <f t="shared" si="234"/>
        <v>0.3</v>
      </c>
      <c r="M580" s="288">
        <f t="shared" si="234"/>
        <v>0.3</v>
      </c>
      <c r="N580" s="288">
        <f t="shared" si="234"/>
        <v>0.3</v>
      </c>
      <c r="O580" s="288">
        <f t="shared" si="234"/>
        <v>0.3</v>
      </c>
      <c r="P580" s="288">
        <f t="shared" si="234"/>
        <v>0.3</v>
      </c>
      <c r="Q580" s="288">
        <f t="shared" si="234"/>
        <v>0.3</v>
      </c>
      <c r="R580" s="288">
        <f t="shared" si="234"/>
        <v>0.3</v>
      </c>
      <c r="S580" s="288">
        <f t="shared" si="234"/>
        <v>0.3</v>
      </c>
      <c r="T580" s="288">
        <f t="shared" si="234"/>
        <v>0.3</v>
      </c>
      <c r="U580" s="288">
        <f t="shared" si="234"/>
        <v>0.3</v>
      </c>
      <c r="V580" s="288">
        <f t="shared" si="234"/>
        <v>0.3</v>
      </c>
      <c r="W580" s="288">
        <f t="shared" si="234"/>
        <v>0.3</v>
      </c>
      <c r="X580" s="288">
        <f t="shared" si="234"/>
        <v>0.3</v>
      </c>
      <c r="Y580" s="288">
        <f t="shared" si="234"/>
        <v>0.3</v>
      </c>
      <c r="Z580" s="288">
        <f t="shared" si="234"/>
        <v>0.3</v>
      </c>
      <c r="AA580" s="288">
        <f t="shared" si="234"/>
        <v>0.3</v>
      </c>
      <c r="AB580" s="288">
        <f t="shared" si="234"/>
        <v>0.3</v>
      </c>
      <c r="AC580" s="288">
        <f t="shared" si="234"/>
        <v>0.3</v>
      </c>
      <c r="AD580" s="288">
        <f t="shared" si="234"/>
        <v>0.3</v>
      </c>
    </row>
    <row r="581" spans="1:30" s="45" customFormat="1" outlineLevel="1">
      <c r="A581" s="45" t="s">
        <v>366</v>
      </c>
      <c r="B581" s="13" t="s">
        <v>284</v>
      </c>
      <c r="C581" s="42">
        <f>SUM(D581:AD581)</f>
        <v>311.7</v>
      </c>
      <c r="D581" s="56">
        <f t="shared" ref="D581:AD581" si="235">D579*D580</f>
        <v>0</v>
      </c>
      <c r="E581" s="56">
        <f t="shared" si="235"/>
        <v>11.1</v>
      </c>
      <c r="F581" s="56">
        <f t="shared" si="235"/>
        <v>11.1</v>
      </c>
      <c r="G581" s="56">
        <f t="shared" si="235"/>
        <v>10.5</v>
      </c>
      <c r="H581" s="56">
        <f t="shared" si="235"/>
        <v>18</v>
      </c>
      <c r="I581" s="56">
        <f t="shared" si="235"/>
        <v>18</v>
      </c>
      <c r="J581" s="56">
        <f t="shared" si="235"/>
        <v>27</v>
      </c>
      <c r="K581" s="56">
        <f t="shared" si="235"/>
        <v>27</v>
      </c>
      <c r="L581" s="56">
        <f t="shared" si="235"/>
        <v>27</v>
      </c>
      <c r="M581" s="56">
        <f t="shared" si="235"/>
        <v>27</v>
      </c>
      <c r="N581" s="56">
        <f t="shared" si="235"/>
        <v>27</v>
      </c>
      <c r="O581" s="56">
        <f t="shared" si="235"/>
        <v>27</v>
      </c>
      <c r="P581" s="56">
        <f t="shared" si="235"/>
        <v>27</v>
      </c>
      <c r="Q581" s="56">
        <f t="shared" si="235"/>
        <v>19.5</v>
      </c>
      <c r="R581" s="56">
        <f t="shared" si="235"/>
        <v>19.5</v>
      </c>
      <c r="S581" s="56">
        <f t="shared" si="235"/>
        <v>15</v>
      </c>
      <c r="T581" s="56">
        <f t="shared" si="235"/>
        <v>0</v>
      </c>
      <c r="U581" s="56">
        <f t="shared" si="235"/>
        <v>0</v>
      </c>
      <c r="V581" s="56">
        <f t="shared" si="235"/>
        <v>0</v>
      </c>
      <c r="W581" s="56">
        <f t="shared" si="235"/>
        <v>0</v>
      </c>
      <c r="X581" s="56">
        <f t="shared" si="235"/>
        <v>0</v>
      </c>
      <c r="Y581" s="56">
        <f t="shared" si="235"/>
        <v>0</v>
      </c>
      <c r="Z581" s="56">
        <f t="shared" si="235"/>
        <v>0</v>
      </c>
      <c r="AA581" s="56">
        <f t="shared" si="235"/>
        <v>0</v>
      </c>
      <c r="AB581" s="56">
        <f t="shared" si="235"/>
        <v>0</v>
      </c>
      <c r="AC581" s="56">
        <f t="shared" si="235"/>
        <v>0</v>
      </c>
      <c r="AD581" s="56">
        <f t="shared" si="235"/>
        <v>0</v>
      </c>
    </row>
    <row r="582" spans="1:30" s="45" customFormat="1" outlineLevel="1">
      <c r="B582" s="13"/>
      <c r="C582" s="42"/>
      <c r="D582" s="56"/>
      <c r="E582" s="56"/>
      <c r="F582" s="56"/>
      <c r="G582" s="56"/>
      <c r="H582" s="56"/>
      <c r="I582" s="56"/>
      <c r="J582" s="56"/>
      <c r="K582" s="56"/>
      <c r="L582" s="56"/>
      <c r="M582" s="56"/>
      <c r="N582" s="56"/>
      <c r="O582" s="56"/>
      <c r="P582" s="56"/>
      <c r="Q582" s="56"/>
      <c r="R582" s="56"/>
      <c r="S582" s="56"/>
      <c r="T582" s="56"/>
      <c r="U582" s="56"/>
      <c r="V582" s="56"/>
      <c r="W582" s="56"/>
      <c r="X582" s="56"/>
      <c r="Y582" s="56"/>
      <c r="Z582" s="56"/>
      <c r="AA582" s="56"/>
      <c r="AB582" s="56"/>
      <c r="AC582" s="56"/>
      <c r="AD582" s="56"/>
    </row>
    <row r="583" spans="1:30" s="45" customFormat="1" outlineLevel="1">
      <c r="A583" s="45" t="str">
        <f>A154</f>
        <v>ore feed to processing - aggregate</v>
      </c>
      <c r="B583" s="45" t="str">
        <f>B154</f>
        <v>millions dry tonnes</v>
      </c>
      <c r="C583" s="42">
        <f>SUM(D583:AD583)</f>
        <v>117.99999999999999</v>
      </c>
      <c r="D583" s="42">
        <f t="shared" ref="D583:AD583" si="236">D154</f>
        <v>0</v>
      </c>
      <c r="E583" s="42">
        <f t="shared" si="236"/>
        <v>0</v>
      </c>
      <c r="F583" s="42">
        <f t="shared" si="236"/>
        <v>5.0769230769230766</v>
      </c>
      <c r="G583" s="42">
        <f t="shared" si="236"/>
        <v>8</v>
      </c>
      <c r="H583" s="42">
        <f t="shared" si="236"/>
        <v>8</v>
      </c>
      <c r="I583" s="42">
        <f t="shared" si="236"/>
        <v>8</v>
      </c>
      <c r="J583" s="42">
        <f t="shared" si="236"/>
        <v>8.3461538461538467</v>
      </c>
      <c r="K583" s="42">
        <f t="shared" si="236"/>
        <v>7.6538461538461533</v>
      </c>
      <c r="L583" s="42">
        <f t="shared" si="236"/>
        <v>8</v>
      </c>
      <c r="M583" s="42">
        <f t="shared" si="236"/>
        <v>8</v>
      </c>
      <c r="N583" s="42">
        <f t="shared" si="236"/>
        <v>8</v>
      </c>
      <c r="O583" s="42">
        <f t="shared" si="236"/>
        <v>8</v>
      </c>
      <c r="P583" s="42">
        <f t="shared" si="236"/>
        <v>8</v>
      </c>
      <c r="Q583" s="42">
        <f t="shared" si="236"/>
        <v>8</v>
      </c>
      <c r="R583" s="42">
        <f t="shared" si="236"/>
        <v>8</v>
      </c>
      <c r="S583" s="42">
        <f t="shared" si="236"/>
        <v>8</v>
      </c>
      <c r="T583" s="42">
        <f t="shared" si="236"/>
        <v>8.9230769230769234</v>
      </c>
      <c r="U583" s="42">
        <f t="shared" si="236"/>
        <v>0</v>
      </c>
      <c r="V583" s="42">
        <f t="shared" si="236"/>
        <v>0</v>
      </c>
      <c r="W583" s="42">
        <f t="shared" si="236"/>
        <v>0</v>
      </c>
      <c r="X583" s="42">
        <f t="shared" si="236"/>
        <v>0</v>
      </c>
      <c r="Y583" s="42">
        <f t="shared" si="236"/>
        <v>0</v>
      </c>
      <c r="Z583" s="42">
        <f t="shared" si="236"/>
        <v>0</v>
      </c>
      <c r="AA583" s="42">
        <f t="shared" si="236"/>
        <v>0</v>
      </c>
      <c r="AB583" s="42">
        <f t="shared" si="236"/>
        <v>0</v>
      </c>
      <c r="AC583" s="42">
        <f t="shared" si="236"/>
        <v>0</v>
      </c>
      <c r="AD583" s="42">
        <f t="shared" si="236"/>
        <v>0</v>
      </c>
    </row>
    <row r="584" spans="1:30" outlineLevel="1">
      <c r="A584" s="214" t="s">
        <v>364</v>
      </c>
      <c r="B584" s="214" t="s">
        <v>365</v>
      </c>
      <c r="C584" s="42"/>
      <c r="D584" s="288">
        <v>1.1000000000000001</v>
      </c>
      <c r="E584" s="288">
        <f t="shared" ref="E584:AD584" si="237">D584</f>
        <v>1.1000000000000001</v>
      </c>
      <c r="F584" s="288">
        <f t="shared" si="237"/>
        <v>1.1000000000000001</v>
      </c>
      <c r="G584" s="288">
        <f t="shared" si="237"/>
        <v>1.1000000000000001</v>
      </c>
      <c r="H584" s="288">
        <f t="shared" si="237"/>
        <v>1.1000000000000001</v>
      </c>
      <c r="I584" s="288">
        <f t="shared" si="237"/>
        <v>1.1000000000000001</v>
      </c>
      <c r="J584" s="288">
        <f t="shared" si="237"/>
        <v>1.1000000000000001</v>
      </c>
      <c r="K584" s="288">
        <f t="shared" si="237"/>
        <v>1.1000000000000001</v>
      </c>
      <c r="L584" s="288">
        <f t="shared" si="237"/>
        <v>1.1000000000000001</v>
      </c>
      <c r="M584" s="288">
        <f t="shared" si="237"/>
        <v>1.1000000000000001</v>
      </c>
      <c r="N584" s="288">
        <f t="shared" si="237"/>
        <v>1.1000000000000001</v>
      </c>
      <c r="O584" s="288">
        <f t="shared" si="237"/>
        <v>1.1000000000000001</v>
      </c>
      <c r="P584" s="288">
        <f t="shared" si="237"/>
        <v>1.1000000000000001</v>
      </c>
      <c r="Q584" s="288">
        <f t="shared" si="237"/>
        <v>1.1000000000000001</v>
      </c>
      <c r="R584" s="288">
        <f t="shared" si="237"/>
        <v>1.1000000000000001</v>
      </c>
      <c r="S584" s="288">
        <f t="shared" si="237"/>
        <v>1.1000000000000001</v>
      </c>
      <c r="T584" s="288">
        <f t="shared" si="237"/>
        <v>1.1000000000000001</v>
      </c>
      <c r="U584" s="288">
        <f t="shared" si="237"/>
        <v>1.1000000000000001</v>
      </c>
      <c r="V584" s="288">
        <f t="shared" si="237"/>
        <v>1.1000000000000001</v>
      </c>
      <c r="W584" s="288">
        <f t="shared" si="237"/>
        <v>1.1000000000000001</v>
      </c>
      <c r="X584" s="288">
        <f t="shared" si="237"/>
        <v>1.1000000000000001</v>
      </c>
      <c r="Y584" s="288">
        <f t="shared" si="237"/>
        <v>1.1000000000000001</v>
      </c>
      <c r="Z584" s="288">
        <f t="shared" si="237"/>
        <v>1.1000000000000001</v>
      </c>
      <c r="AA584" s="288">
        <f t="shared" si="237"/>
        <v>1.1000000000000001</v>
      </c>
      <c r="AB584" s="288">
        <f t="shared" si="237"/>
        <v>1.1000000000000001</v>
      </c>
      <c r="AC584" s="288">
        <f t="shared" si="237"/>
        <v>1.1000000000000001</v>
      </c>
      <c r="AD584" s="288">
        <f t="shared" si="237"/>
        <v>1.1000000000000001</v>
      </c>
    </row>
    <row r="585" spans="1:30" s="45" customFormat="1" outlineLevel="1">
      <c r="A585" s="45" t="s">
        <v>367</v>
      </c>
      <c r="B585" s="13" t="s">
        <v>284</v>
      </c>
      <c r="C585" s="42">
        <f>SUM(D585:AD585)</f>
        <v>129.79999999999998</v>
      </c>
      <c r="D585" s="56">
        <f t="shared" ref="D585:AD585" si="238">D583*D584</f>
        <v>0</v>
      </c>
      <c r="E585" s="56">
        <f t="shared" si="238"/>
        <v>0</v>
      </c>
      <c r="F585" s="56">
        <f t="shared" si="238"/>
        <v>5.5846153846153852</v>
      </c>
      <c r="G585" s="56">
        <f t="shared" si="238"/>
        <v>8.8000000000000007</v>
      </c>
      <c r="H585" s="56">
        <f t="shared" si="238"/>
        <v>8.8000000000000007</v>
      </c>
      <c r="I585" s="56">
        <f t="shared" si="238"/>
        <v>8.8000000000000007</v>
      </c>
      <c r="J585" s="56">
        <f t="shared" si="238"/>
        <v>9.1807692307692328</v>
      </c>
      <c r="K585" s="56">
        <f t="shared" si="238"/>
        <v>8.4192307692307686</v>
      </c>
      <c r="L585" s="56">
        <f t="shared" si="238"/>
        <v>8.8000000000000007</v>
      </c>
      <c r="M585" s="56">
        <f t="shared" si="238"/>
        <v>8.8000000000000007</v>
      </c>
      <c r="N585" s="56">
        <f t="shared" si="238"/>
        <v>8.8000000000000007</v>
      </c>
      <c r="O585" s="56">
        <f t="shared" si="238"/>
        <v>8.8000000000000007</v>
      </c>
      <c r="P585" s="56">
        <f t="shared" si="238"/>
        <v>8.8000000000000007</v>
      </c>
      <c r="Q585" s="56">
        <f t="shared" si="238"/>
        <v>8.8000000000000007</v>
      </c>
      <c r="R585" s="56">
        <f t="shared" si="238"/>
        <v>8.8000000000000007</v>
      </c>
      <c r="S585" s="56">
        <f t="shared" si="238"/>
        <v>8.8000000000000007</v>
      </c>
      <c r="T585" s="56">
        <f t="shared" si="238"/>
        <v>9.815384615384616</v>
      </c>
      <c r="U585" s="56">
        <f t="shared" si="238"/>
        <v>0</v>
      </c>
      <c r="V585" s="56">
        <f t="shared" si="238"/>
        <v>0</v>
      </c>
      <c r="W585" s="56">
        <f t="shared" si="238"/>
        <v>0</v>
      </c>
      <c r="X585" s="56">
        <f t="shared" si="238"/>
        <v>0</v>
      </c>
      <c r="Y585" s="56">
        <f t="shared" si="238"/>
        <v>0</v>
      </c>
      <c r="Z585" s="56">
        <f t="shared" si="238"/>
        <v>0</v>
      </c>
      <c r="AA585" s="56">
        <f t="shared" si="238"/>
        <v>0</v>
      </c>
      <c r="AB585" s="56">
        <f t="shared" si="238"/>
        <v>0</v>
      </c>
      <c r="AC585" s="56">
        <f t="shared" si="238"/>
        <v>0</v>
      </c>
      <c r="AD585" s="56">
        <f t="shared" si="238"/>
        <v>0</v>
      </c>
    </row>
    <row r="586" spans="1:30" s="45" customFormat="1" outlineLevel="1">
      <c r="B586" s="13"/>
      <c r="C586" s="42"/>
      <c r="D586" s="56"/>
      <c r="E586" s="56"/>
      <c r="F586" s="56"/>
      <c r="G586" s="56"/>
      <c r="H586" s="56"/>
      <c r="I586" s="56"/>
      <c r="J586" s="56"/>
      <c r="K586" s="56"/>
      <c r="L586" s="56"/>
      <c r="M586" s="56"/>
      <c r="N586" s="56"/>
      <c r="O586" s="56"/>
      <c r="P586" s="56"/>
      <c r="Q586" s="56"/>
      <c r="R586" s="56"/>
      <c r="S586" s="56"/>
      <c r="T586" s="56"/>
      <c r="U586" s="56"/>
      <c r="V586" s="56"/>
      <c r="W586" s="56"/>
      <c r="X586" s="56"/>
      <c r="Y586" s="56"/>
      <c r="Z586" s="56"/>
      <c r="AA586" s="56"/>
      <c r="AB586" s="56"/>
      <c r="AC586" s="56"/>
      <c r="AD586" s="56"/>
    </row>
    <row r="587" spans="1:30" s="45" customFormat="1" outlineLevel="1">
      <c r="A587" s="45" t="str">
        <f>A580</f>
        <v>Ongoing rehabilitation of waste dumps</v>
      </c>
      <c r="B587" s="13" t="s">
        <v>284</v>
      </c>
      <c r="C587" s="42">
        <f>SUM(D587:AD587)</f>
        <v>441.50000000000011</v>
      </c>
      <c r="D587" s="101">
        <f t="shared" ref="D587:AD587" si="239">D581+D585</f>
        <v>0</v>
      </c>
      <c r="E587" s="101">
        <f t="shared" si="239"/>
        <v>11.1</v>
      </c>
      <c r="F587" s="101">
        <f t="shared" si="239"/>
        <v>16.684615384615384</v>
      </c>
      <c r="G587" s="101">
        <f t="shared" si="239"/>
        <v>19.3</v>
      </c>
      <c r="H587" s="101">
        <f t="shared" si="239"/>
        <v>26.8</v>
      </c>
      <c r="I587" s="101">
        <f t="shared" si="239"/>
        <v>26.8</v>
      </c>
      <c r="J587" s="101">
        <f t="shared" si="239"/>
        <v>36.180769230769229</v>
      </c>
      <c r="K587" s="101">
        <f t="shared" si="239"/>
        <v>35.419230769230765</v>
      </c>
      <c r="L587" s="101">
        <f t="shared" si="239"/>
        <v>35.799999999999997</v>
      </c>
      <c r="M587" s="101">
        <f t="shared" si="239"/>
        <v>35.799999999999997</v>
      </c>
      <c r="N587" s="101">
        <f t="shared" si="239"/>
        <v>35.799999999999997</v>
      </c>
      <c r="O587" s="101">
        <f t="shared" si="239"/>
        <v>35.799999999999997</v>
      </c>
      <c r="P587" s="101">
        <f t="shared" si="239"/>
        <v>35.799999999999997</v>
      </c>
      <c r="Q587" s="101">
        <f t="shared" si="239"/>
        <v>28.3</v>
      </c>
      <c r="R587" s="101">
        <f t="shared" si="239"/>
        <v>28.3</v>
      </c>
      <c r="S587" s="101">
        <f t="shared" si="239"/>
        <v>23.8</v>
      </c>
      <c r="T587" s="101">
        <f t="shared" si="239"/>
        <v>9.815384615384616</v>
      </c>
      <c r="U587" s="101">
        <f t="shared" si="239"/>
        <v>0</v>
      </c>
      <c r="V587" s="101">
        <f t="shared" si="239"/>
        <v>0</v>
      </c>
      <c r="W587" s="101">
        <f t="shared" si="239"/>
        <v>0</v>
      </c>
      <c r="X587" s="101">
        <f t="shared" si="239"/>
        <v>0</v>
      </c>
      <c r="Y587" s="101">
        <f t="shared" si="239"/>
        <v>0</v>
      </c>
      <c r="Z587" s="101">
        <f t="shared" si="239"/>
        <v>0</v>
      </c>
      <c r="AA587" s="101">
        <f t="shared" si="239"/>
        <v>0</v>
      </c>
      <c r="AB587" s="101">
        <f t="shared" si="239"/>
        <v>0</v>
      </c>
      <c r="AC587" s="101">
        <f t="shared" si="239"/>
        <v>0</v>
      </c>
      <c r="AD587" s="101">
        <f t="shared" si="239"/>
        <v>0</v>
      </c>
    </row>
    <row r="588" spans="1:30" s="45" customFormat="1" outlineLevel="1">
      <c r="B588" s="13"/>
      <c r="C588" s="42"/>
      <c r="D588" s="56"/>
      <c r="E588" s="56"/>
      <c r="F588" s="56"/>
      <c r="G588" s="56"/>
      <c r="H588" s="56"/>
      <c r="I588" s="56"/>
      <c r="J588" s="56"/>
      <c r="K588" s="56"/>
      <c r="L588" s="56"/>
      <c r="M588" s="56"/>
      <c r="N588" s="56"/>
      <c r="O588" s="56"/>
      <c r="P588" s="56"/>
      <c r="Q588" s="56"/>
      <c r="R588" s="56"/>
      <c r="S588" s="56"/>
      <c r="T588" s="56"/>
      <c r="U588" s="56"/>
      <c r="V588" s="56"/>
      <c r="W588" s="56"/>
      <c r="X588" s="56"/>
      <c r="Y588" s="56"/>
      <c r="Z588" s="56"/>
      <c r="AA588" s="56"/>
      <c r="AB588" s="56"/>
      <c r="AC588" s="56"/>
      <c r="AD588" s="56"/>
    </row>
    <row r="589" spans="1:30" s="45" customFormat="1" outlineLevel="1">
      <c r="A589" s="13" t="s">
        <v>566</v>
      </c>
      <c r="C589" s="44"/>
      <c r="D589" s="44"/>
      <c r="E589" s="44"/>
      <c r="F589" s="44"/>
      <c r="G589" s="44"/>
      <c r="H589" s="44"/>
      <c r="I589" s="44"/>
      <c r="J589" s="44"/>
      <c r="K589" s="44"/>
      <c r="L589" s="44"/>
      <c r="M589" s="44"/>
      <c r="N589" s="44"/>
      <c r="O589" s="44"/>
      <c r="P589" s="44"/>
      <c r="Q589" s="44"/>
      <c r="R589" s="44"/>
      <c r="S589" s="44"/>
      <c r="T589" s="44"/>
      <c r="U589" s="44"/>
      <c r="V589" s="44"/>
      <c r="W589" s="44"/>
      <c r="X589" s="44"/>
      <c r="Y589" s="44"/>
      <c r="Z589" s="44"/>
      <c r="AA589" s="44"/>
      <c r="AB589" s="44"/>
      <c r="AC589" s="44"/>
      <c r="AD589" s="44"/>
    </row>
    <row r="590" spans="1:30" outlineLevel="1">
      <c r="A590" s="214" t="s">
        <v>135</v>
      </c>
      <c r="B590" s="214" t="s">
        <v>284</v>
      </c>
      <c r="C590" s="42"/>
      <c r="D590" s="219">
        <v>320</v>
      </c>
      <c r="E590" s="219">
        <f t="shared" ref="E590:AD590" si="240">D590</f>
        <v>320</v>
      </c>
      <c r="F590" s="219">
        <f t="shared" si="240"/>
        <v>320</v>
      </c>
      <c r="G590" s="219">
        <f t="shared" si="240"/>
        <v>320</v>
      </c>
      <c r="H590" s="219">
        <f t="shared" si="240"/>
        <v>320</v>
      </c>
      <c r="I590" s="219">
        <f t="shared" si="240"/>
        <v>320</v>
      </c>
      <c r="J590" s="219">
        <f t="shared" si="240"/>
        <v>320</v>
      </c>
      <c r="K590" s="219">
        <f t="shared" si="240"/>
        <v>320</v>
      </c>
      <c r="L590" s="219">
        <f t="shared" si="240"/>
        <v>320</v>
      </c>
      <c r="M590" s="219">
        <f t="shared" si="240"/>
        <v>320</v>
      </c>
      <c r="N590" s="219">
        <f t="shared" si="240"/>
        <v>320</v>
      </c>
      <c r="O590" s="219">
        <f t="shared" si="240"/>
        <v>320</v>
      </c>
      <c r="P590" s="219">
        <f t="shared" si="240"/>
        <v>320</v>
      </c>
      <c r="Q590" s="219">
        <f t="shared" si="240"/>
        <v>320</v>
      </c>
      <c r="R590" s="219">
        <f t="shared" si="240"/>
        <v>320</v>
      </c>
      <c r="S590" s="219">
        <f t="shared" si="240"/>
        <v>320</v>
      </c>
      <c r="T590" s="219">
        <f t="shared" si="240"/>
        <v>320</v>
      </c>
      <c r="U590" s="219">
        <f t="shared" si="240"/>
        <v>320</v>
      </c>
      <c r="V590" s="219">
        <f t="shared" si="240"/>
        <v>320</v>
      </c>
      <c r="W590" s="219">
        <f t="shared" si="240"/>
        <v>320</v>
      </c>
      <c r="X590" s="219">
        <f t="shared" si="240"/>
        <v>320</v>
      </c>
      <c r="Y590" s="219">
        <f t="shared" si="240"/>
        <v>320</v>
      </c>
      <c r="Z590" s="219">
        <f t="shared" si="240"/>
        <v>320</v>
      </c>
      <c r="AA590" s="219">
        <f t="shared" si="240"/>
        <v>320</v>
      </c>
      <c r="AB590" s="219">
        <f t="shared" si="240"/>
        <v>320</v>
      </c>
      <c r="AC590" s="219">
        <f t="shared" si="240"/>
        <v>320</v>
      </c>
      <c r="AD590" s="219">
        <f t="shared" si="240"/>
        <v>320</v>
      </c>
    </row>
    <row r="591" spans="1:30" s="45" customFormat="1" outlineLevel="1">
      <c r="A591" s="45" t="s">
        <v>368</v>
      </c>
      <c r="B591" s="13" t="s">
        <v>284</v>
      </c>
      <c r="C591" s="42">
        <f>SUM(D591:AD591)</f>
        <v>320</v>
      </c>
      <c r="D591" s="101">
        <f t="shared" ref="D591:AD591" si="241">IF(AND(D154&gt;0,E154=0),D590,0)</f>
        <v>0</v>
      </c>
      <c r="E591" s="101">
        <f t="shared" si="241"/>
        <v>0</v>
      </c>
      <c r="F591" s="101">
        <f t="shared" si="241"/>
        <v>0</v>
      </c>
      <c r="G591" s="101">
        <f t="shared" si="241"/>
        <v>0</v>
      </c>
      <c r="H591" s="101">
        <f t="shared" si="241"/>
        <v>0</v>
      </c>
      <c r="I591" s="101">
        <f t="shared" si="241"/>
        <v>0</v>
      </c>
      <c r="J591" s="101">
        <f t="shared" si="241"/>
        <v>0</v>
      </c>
      <c r="K591" s="101">
        <f t="shared" si="241"/>
        <v>0</v>
      </c>
      <c r="L591" s="101">
        <f t="shared" si="241"/>
        <v>0</v>
      </c>
      <c r="M591" s="101">
        <f t="shared" si="241"/>
        <v>0</v>
      </c>
      <c r="N591" s="101">
        <f t="shared" si="241"/>
        <v>0</v>
      </c>
      <c r="O591" s="101">
        <f t="shared" si="241"/>
        <v>0</v>
      </c>
      <c r="P591" s="101">
        <f t="shared" si="241"/>
        <v>0</v>
      </c>
      <c r="Q591" s="101">
        <f t="shared" si="241"/>
        <v>0</v>
      </c>
      <c r="R591" s="101">
        <f t="shared" si="241"/>
        <v>0</v>
      </c>
      <c r="S591" s="101">
        <f t="shared" si="241"/>
        <v>0</v>
      </c>
      <c r="T591" s="101">
        <f t="shared" si="241"/>
        <v>320</v>
      </c>
      <c r="U591" s="101">
        <f t="shared" si="241"/>
        <v>0</v>
      </c>
      <c r="V591" s="101">
        <f t="shared" si="241"/>
        <v>0</v>
      </c>
      <c r="W591" s="101">
        <f t="shared" si="241"/>
        <v>0</v>
      </c>
      <c r="X591" s="101">
        <f t="shared" si="241"/>
        <v>0</v>
      </c>
      <c r="Y591" s="101">
        <f t="shared" si="241"/>
        <v>0</v>
      </c>
      <c r="Z591" s="101">
        <f t="shared" si="241"/>
        <v>0</v>
      </c>
      <c r="AA591" s="101">
        <f t="shared" si="241"/>
        <v>0</v>
      </c>
      <c r="AB591" s="101">
        <f t="shared" si="241"/>
        <v>0</v>
      </c>
      <c r="AC591" s="101">
        <f t="shared" si="241"/>
        <v>0</v>
      </c>
      <c r="AD591" s="101">
        <f t="shared" si="241"/>
        <v>0</v>
      </c>
    </row>
    <row r="592" spans="1:30" s="45" customFormat="1" ht="12" customHeight="1" outlineLevel="1">
      <c r="A592" s="59"/>
      <c r="C592" s="44"/>
      <c r="D592" s="44"/>
      <c r="E592" s="44"/>
      <c r="F592" s="44"/>
      <c r="G592" s="44"/>
      <c r="H592" s="44"/>
      <c r="I592" s="44"/>
      <c r="J592" s="44"/>
      <c r="K592" s="44"/>
      <c r="L592" s="44"/>
      <c r="M592" s="44"/>
      <c r="N592" s="44"/>
      <c r="O592" s="44"/>
      <c r="P592" s="44"/>
      <c r="Q592" s="44"/>
      <c r="R592" s="44"/>
      <c r="S592" s="44"/>
      <c r="T592" s="44"/>
      <c r="U592" s="44"/>
      <c r="V592" s="44"/>
      <c r="W592" s="44"/>
      <c r="X592" s="44"/>
      <c r="Y592" s="44"/>
      <c r="Z592" s="44"/>
      <c r="AA592" s="44"/>
      <c r="AB592" s="44"/>
      <c r="AC592" s="44"/>
      <c r="AD592" s="44"/>
    </row>
    <row r="593" spans="1:30" s="286" customFormat="1" ht="28.75" customHeight="1" outlineLevel="1">
      <c r="A593" s="127" t="str">
        <f>A577</f>
        <v>Rehabilitation &amp; Environmental and Closure</v>
      </c>
      <c r="B593" s="117" t="s">
        <v>284</v>
      </c>
      <c r="C593" s="232">
        <f>SUM(D593:AD593)</f>
        <v>761.50000000000011</v>
      </c>
      <c r="D593" s="287">
        <f t="shared" ref="D593:AD593" si="242">D587+D591</f>
        <v>0</v>
      </c>
      <c r="E593" s="287">
        <f t="shared" si="242"/>
        <v>11.1</v>
      </c>
      <c r="F593" s="287">
        <f t="shared" si="242"/>
        <v>16.684615384615384</v>
      </c>
      <c r="G593" s="287">
        <f t="shared" si="242"/>
        <v>19.3</v>
      </c>
      <c r="H593" s="287">
        <f t="shared" si="242"/>
        <v>26.8</v>
      </c>
      <c r="I593" s="287">
        <f t="shared" si="242"/>
        <v>26.8</v>
      </c>
      <c r="J593" s="287">
        <f t="shared" si="242"/>
        <v>36.180769230769229</v>
      </c>
      <c r="K593" s="287">
        <f t="shared" si="242"/>
        <v>35.419230769230765</v>
      </c>
      <c r="L593" s="287">
        <f t="shared" si="242"/>
        <v>35.799999999999997</v>
      </c>
      <c r="M593" s="287">
        <f t="shared" si="242"/>
        <v>35.799999999999997</v>
      </c>
      <c r="N593" s="287">
        <f t="shared" si="242"/>
        <v>35.799999999999997</v>
      </c>
      <c r="O593" s="287">
        <f t="shared" si="242"/>
        <v>35.799999999999997</v>
      </c>
      <c r="P593" s="287">
        <f t="shared" si="242"/>
        <v>35.799999999999997</v>
      </c>
      <c r="Q593" s="287">
        <f t="shared" si="242"/>
        <v>28.3</v>
      </c>
      <c r="R593" s="287">
        <f t="shared" si="242"/>
        <v>28.3</v>
      </c>
      <c r="S593" s="287">
        <f t="shared" si="242"/>
        <v>23.8</v>
      </c>
      <c r="T593" s="287">
        <f t="shared" si="242"/>
        <v>329.81538461538463</v>
      </c>
      <c r="U593" s="287">
        <f t="shared" si="242"/>
        <v>0</v>
      </c>
      <c r="V593" s="287">
        <f t="shared" si="242"/>
        <v>0</v>
      </c>
      <c r="W593" s="287">
        <f t="shared" si="242"/>
        <v>0</v>
      </c>
      <c r="X593" s="287">
        <f t="shared" si="242"/>
        <v>0</v>
      </c>
      <c r="Y593" s="287">
        <f t="shared" si="242"/>
        <v>0</v>
      </c>
      <c r="Z593" s="287">
        <f t="shared" si="242"/>
        <v>0</v>
      </c>
      <c r="AA593" s="287">
        <f t="shared" si="242"/>
        <v>0</v>
      </c>
      <c r="AB593" s="287">
        <f t="shared" si="242"/>
        <v>0</v>
      </c>
      <c r="AC593" s="287">
        <f t="shared" si="242"/>
        <v>0</v>
      </c>
      <c r="AD593" s="287">
        <f t="shared" si="242"/>
        <v>0</v>
      </c>
    </row>
    <row r="594" spans="1:30" s="45" customFormat="1" outlineLevel="1">
      <c r="A594" s="75" t="str">
        <f>A593&amp;"/tonne milled"</f>
        <v>Rehabilitation &amp; Environmental and Closure/tonne milled</v>
      </c>
      <c r="B594" s="13" t="s">
        <v>303</v>
      </c>
      <c r="C594" s="57">
        <f>IF(C$154=0,0,C593/C$154)</f>
        <v>6.4533898305084767</v>
      </c>
      <c r="D594" s="57">
        <f t="shared" ref="D594:AD594" si="243">IF(D$154=0,0,D593/D$154)</f>
        <v>0</v>
      </c>
      <c r="E594" s="57">
        <f t="shared" si="243"/>
        <v>0</v>
      </c>
      <c r="F594" s="57">
        <f t="shared" si="243"/>
        <v>3.2863636363636366</v>
      </c>
      <c r="G594" s="57">
        <f t="shared" si="243"/>
        <v>2.4125000000000001</v>
      </c>
      <c r="H594" s="57">
        <f t="shared" si="243"/>
        <v>3.35</v>
      </c>
      <c r="I594" s="57">
        <f t="shared" si="243"/>
        <v>3.35</v>
      </c>
      <c r="J594" s="57">
        <f t="shared" si="243"/>
        <v>4.3350230414746536</v>
      </c>
      <c r="K594" s="57">
        <f t="shared" si="243"/>
        <v>4.6276381909547739</v>
      </c>
      <c r="L594" s="57">
        <f t="shared" si="243"/>
        <v>4.4749999999999996</v>
      </c>
      <c r="M594" s="57">
        <f t="shared" si="243"/>
        <v>4.4749999999999996</v>
      </c>
      <c r="N594" s="57">
        <f t="shared" si="243"/>
        <v>4.4749999999999996</v>
      </c>
      <c r="O594" s="57">
        <f t="shared" si="243"/>
        <v>4.4749999999999996</v>
      </c>
      <c r="P594" s="57">
        <f t="shared" si="243"/>
        <v>4.4749999999999996</v>
      </c>
      <c r="Q594" s="57">
        <f t="shared" si="243"/>
        <v>3.5375000000000001</v>
      </c>
      <c r="R594" s="57">
        <f t="shared" si="243"/>
        <v>3.5375000000000001</v>
      </c>
      <c r="S594" s="57">
        <f t="shared" si="243"/>
        <v>2.9750000000000001</v>
      </c>
      <c r="T594" s="57">
        <f t="shared" si="243"/>
        <v>36.96206896551724</v>
      </c>
      <c r="U594" s="57">
        <f t="shared" si="243"/>
        <v>0</v>
      </c>
      <c r="V594" s="57">
        <f t="shared" si="243"/>
        <v>0</v>
      </c>
      <c r="W594" s="57">
        <f t="shared" si="243"/>
        <v>0</v>
      </c>
      <c r="X594" s="57">
        <f t="shared" si="243"/>
        <v>0</v>
      </c>
      <c r="Y594" s="57">
        <f t="shared" si="243"/>
        <v>0</v>
      </c>
      <c r="Z594" s="57">
        <f t="shared" si="243"/>
        <v>0</v>
      </c>
      <c r="AA594" s="57">
        <f t="shared" si="243"/>
        <v>0</v>
      </c>
      <c r="AB594" s="57">
        <f t="shared" si="243"/>
        <v>0</v>
      </c>
      <c r="AC594" s="57">
        <f t="shared" si="243"/>
        <v>0</v>
      </c>
      <c r="AD594" s="57">
        <f t="shared" si="243"/>
        <v>0</v>
      </c>
    </row>
    <row r="595" spans="1:30" s="65" customFormat="1" ht="24" customHeight="1">
      <c r="A595" s="41"/>
      <c r="B595" s="52"/>
      <c r="C595" s="54"/>
      <c r="D595" s="67"/>
      <c r="E595" s="67"/>
      <c r="F595" s="67"/>
      <c r="G595" s="67"/>
      <c r="H595" s="67"/>
      <c r="I595" s="67"/>
      <c r="J595" s="54"/>
      <c r="K595" s="54"/>
      <c r="L595" s="54"/>
      <c r="M595" s="54"/>
      <c r="N595" s="54"/>
      <c r="O595" s="54"/>
      <c r="P595" s="54"/>
      <c r="Q595" s="54"/>
      <c r="R595" s="54"/>
      <c r="S595" s="54"/>
      <c r="T595" s="54"/>
      <c r="U595" s="54"/>
      <c r="V595" s="54"/>
      <c r="W595" s="54"/>
      <c r="X595" s="54"/>
      <c r="Y595" s="54"/>
      <c r="Z595" s="54"/>
      <c r="AA595" s="54"/>
      <c r="AB595" s="54"/>
      <c r="AC595" s="54"/>
      <c r="AD595" s="54"/>
    </row>
    <row r="596" spans="1:30" s="8" customFormat="1" ht="15.5" outlineLevel="1">
      <c r="A596" s="242" t="str">
        <f>'Expected NPV &amp; Common Data'!A$36</f>
        <v>Calendar Year --&gt;</v>
      </c>
      <c r="B596" s="243" t="str">
        <f>'Expected NPV &amp; Common Data'!B$36</f>
        <v>units</v>
      </c>
      <c r="C596" s="244" t="str">
        <f>'Expected NPV &amp; Common Data'!C$36</f>
        <v>Total</v>
      </c>
      <c r="D596" s="245">
        <f>'Expected NPV &amp; Common Data'!D$36</f>
        <v>2027</v>
      </c>
      <c r="E596" s="245">
        <f>'Expected NPV &amp; Common Data'!E$36</f>
        <v>2028</v>
      </c>
      <c r="F596" s="245">
        <f>'Expected NPV &amp; Common Data'!F$36</f>
        <v>2029</v>
      </c>
      <c r="G596" s="245">
        <f>'Expected NPV &amp; Common Data'!G$36</f>
        <v>2030</v>
      </c>
      <c r="H596" s="245">
        <f>'Expected NPV &amp; Common Data'!H$36</f>
        <v>2031</v>
      </c>
      <c r="I596" s="245">
        <f>'Expected NPV &amp; Common Data'!I$36</f>
        <v>2032</v>
      </c>
      <c r="J596" s="245">
        <f>'Expected NPV &amp; Common Data'!J$36</f>
        <v>2033</v>
      </c>
      <c r="K596" s="245">
        <f>'Expected NPV &amp; Common Data'!K$36</f>
        <v>2034</v>
      </c>
      <c r="L596" s="245">
        <f>'Expected NPV &amp; Common Data'!L$36</f>
        <v>2035</v>
      </c>
      <c r="M596" s="245">
        <f>'Expected NPV &amp; Common Data'!M$36</f>
        <v>2036</v>
      </c>
      <c r="N596" s="245">
        <f>'Expected NPV &amp; Common Data'!N$36</f>
        <v>2037</v>
      </c>
      <c r="O596" s="245">
        <f>'Expected NPV &amp; Common Data'!O$36</f>
        <v>2038</v>
      </c>
      <c r="P596" s="245">
        <f>'Expected NPV &amp; Common Data'!P$36</f>
        <v>2039</v>
      </c>
      <c r="Q596" s="245">
        <f>'Expected NPV &amp; Common Data'!Q$36</f>
        <v>2040</v>
      </c>
      <c r="R596" s="245">
        <f>'Expected NPV &amp; Common Data'!R$36</f>
        <v>2041</v>
      </c>
      <c r="S596" s="245">
        <f>'Expected NPV &amp; Common Data'!S$36</f>
        <v>2042</v>
      </c>
      <c r="T596" s="245">
        <f>'Expected NPV &amp; Common Data'!T$36</f>
        <v>2043</v>
      </c>
      <c r="U596" s="245">
        <f>'Expected NPV &amp; Common Data'!U$36</f>
        <v>2044</v>
      </c>
      <c r="V596" s="245">
        <f>'Expected NPV &amp; Common Data'!V$36</f>
        <v>2045</v>
      </c>
      <c r="W596" s="245">
        <f>'Expected NPV &amp; Common Data'!W$36</f>
        <v>2046</v>
      </c>
      <c r="X596" s="245">
        <f>'Expected NPV &amp; Common Data'!X$36</f>
        <v>2047</v>
      </c>
      <c r="Y596" s="245">
        <f>'Expected NPV &amp; Common Data'!Y$36</f>
        <v>2048</v>
      </c>
      <c r="Z596" s="245">
        <f>'Expected NPV &amp; Common Data'!Z$36</f>
        <v>2049</v>
      </c>
      <c r="AA596" s="245">
        <f>'Expected NPV &amp; Common Data'!AA$36</f>
        <v>2050</v>
      </c>
      <c r="AB596" s="245">
        <f>'Expected NPV &amp; Common Data'!AB$36</f>
        <v>2051</v>
      </c>
      <c r="AC596" s="245">
        <f>'Expected NPV &amp; Common Data'!AC$36</f>
        <v>2052</v>
      </c>
      <c r="AD596" s="245">
        <f>'Expected NPV &amp; Common Data'!AD$36</f>
        <v>2053</v>
      </c>
    </row>
    <row r="597" spans="1:30" ht="54" customHeight="1">
      <c r="A597" s="23" t="s">
        <v>374</v>
      </c>
      <c r="D597" s="15"/>
      <c r="E597" s="15"/>
      <c r="F597" s="15"/>
      <c r="G597" s="15"/>
      <c r="H597" s="15"/>
      <c r="I597" s="15"/>
      <c r="J597" s="15"/>
      <c r="K597" s="15"/>
      <c r="L597" s="15"/>
      <c r="M597" s="15"/>
      <c r="N597" s="15"/>
      <c r="O597" s="15"/>
      <c r="P597" s="15"/>
      <c r="Q597" s="15"/>
      <c r="R597" s="15"/>
      <c r="S597" s="15"/>
      <c r="T597" s="15"/>
      <c r="U597" s="15"/>
      <c r="V597" s="15"/>
      <c r="W597" s="15"/>
      <c r="X597" s="15"/>
      <c r="Y597" s="15"/>
      <c r="Z597" s="15"/>
      <c r="AA597" s="15"/>
      <c r="AB597" s="15"/>
      <c r="AC597" s="15"/>
      <c r="AD597" s="15"/>
    </row>
    <row r="598" spans="1:30" s="65" customFormat="1" outlineLevel="1">
      <c r="A598" s="282" t="s">
        <v>587</v>
      </c>
      <c r="B598" s="52"/>
      <c r="C598" s="54"/>
      <c r="D598" s="54"/>
      <c r="E598" s="54"/>
      <c r="F598" s="54"/>
      <c r="G598" s="54"/>
      <c r="H598" s="54"/>
      <c r="I598" s="54"/>
      <c r="J598" s="54"/>
      <c r="K598" s="54"/>
      <c r="L598" s="54"/>
      <c r="M598" s="54"/>
      <c r="N598" s="54"/>
      <c r="O598" s="54"/>
      <c r="P598" s="54"/>
      <c r="Q598" s="54"/>
      <c r="R598" s="54"/>
      <c r="S598" s="54"/>
      <c r="T598" s="54"/>
      <c r="U598" s="54"/>
      <c r="V598" s="54"/>
      <c r="W598" s="54"/>
      <c r="X598" s="54"/>
      <c r="Y598" s="54"/>
      <c r="Z598" s="54"/>
      <c r="AA598" s="54"/>
      <c r="AB598" s="54"/>
      <c r="AC598" s="54"/>
      <c r="AD598" s="54"/>
    </row>
    <row r="599" spans="1:30">
      <c r="A599" s="69" t="str">
        <f>A139</f>
        <v xml:space="preserve">ore - aggregate  </v>
      </c>
      <c r="B599" s="69" t="str">
        <f>B139</f>
        <v>millions dry tonnes</v>
      </c>
      <c r="C599" s="42">
        <f>SUM(D599:AD599)</f>
        <v>118</v>
      </c>
      <c r="D599" s="42">
        <f t="shared" ref="D599:AD599" si="244">D139</f>
        <v>0</v>
      </c>
      <c r="E599" s="42">
        <f t="shared" si="244"/>
        <v>0</v>
      </c>
      <c r="F599" s="42">
        <f t="shared" si="244"/>
        <v>6</v>
      </c>
      <c r="G599" s="42">
        <f t="shared" si="244"/>
        <v>8</v>
      </c>
      <c r="H599" s="42">
        <f t="shared" si="244"/>
        <v>8</v>
      </c>
      <c r="I599" s="42">
        <f t="shared" si="244"/>
        <v>8</v>
      </c>
      <c r="J599" s="42">
        <f t="shared" si="244"/>
        <v>8</v>
      </c>
      <c r="K599" s="42">
        <f t="shared" si="244"/>
        <v>8</v>
      </c>
      <c r="L599" s="42">
        <f t="shared" si="244"/>
        <v>8</v>
      </c>
      <c r="M599" s="42">
        <f t="shared" si="244"/>
        <v>8</v>
      </c>
      <c r="N599" s="42">
        <f t="shared" si="244"/>
        <v>8</v>
      </c>
      <c r="O599" s="42">
        <f t="shared" si="244"/>
        <v>8</v>
      </c>
      <c r="P599" s="42">
        <f t="shared" si="244"/>
        <v>8</v>
      </c>
      <c r="Q599" s="42">
        <f t="shared" si="244"/>
        <v>8</v>
      </c>
      <c r="R599" s="42">
        <f t="shared" si="244"/>
        <v>8</v>
      </c>
      <c r="S599" s="42">
        <f t="shared" si="244"/>
        <v>8</v>
      </c>
      <c r="T599" s="42">
        <f t="shared" si="244"/>
        <v>8</v>
      </c>
      <c r="U599" s="42">
        <f t="shared" si="244"/>
        <v>0</v>
      </c>
      <c r="V599" s="42">
        <f t="shared" si="244"/>
        <v>0</v>
      </c>
      <c r="W599" s="42">
        <f t="shared" si="244"/>
        <v>0</v>
      </c>
      <c r="X599" s="42">
        <f t="shared" si="244"/>
        <v>0</v>
      </c>
      <c r="Y599" s="42">
        <f t="shared" si="244"/>
        <v>0</v>
      </c>
      <c r="Z599" s="42">
        <f t="shared" si="244"/>
        <v>0</v>
      </c>
      <c r="AA599" s="42">
        <f t="shared" si="244"/>
        <v>0</v>
      </c>
      <c r="AB599" s="42">
        <f t="shared" si="244"/>
        <v>0</v>
      </c>
      <c r="AC599" s="42">
        <f t="shared" si="244"/>
        <v>0</v>
      </c>
      <c r="AD599" s="42">
        <f t="shared" si="244"/>
        <v>0</v>
      </c>
    </row>
    <row r="600" spans="1:30" outlineLevel="1">
      <c r="A600" s="214" t="s">
        <v>373</v>
      </c>
      <c r="B600" s="214" t="s">
        <v>293</v>
      </c>
      <c r="C600" s="42"/>
      <c r="D600" s="226">
        <v>3.8</v>
      </c>
      <c r="E600" s="226">
        <f t="shared" ref="E600:AD600" si="245">D600</f>
        <v>3.8</v>
      </c>
      <c r="F600" s="226">
        <f t="shared" si="245"/>
        <v>3.8</v>
      </c>
      <c r="G600" s="226">
        <f t="shared" si="245"/>
        <v>3.8</v>
      </c>
      <c r="H600" s="226">
        <f t="shared" si="245"/>
        <v>3.8</v>
      </c>
      <c r="I600" s="226">
        <f t="shared" si="245"/>
        <v>3.8</v>
      </c>
      <c r="J600" s="226">
        <f t="shared" si="245"/>
        <v>3.8</v>
      </c>
      <c r="K600" s="226">
        <f t="shared" si="245"/>
        <v>3.8</v>
      </c>
      <c r="L600" s="226">
        <f t="shared" si="245"/>
        <v>3.8</v>
      </c>
      <c r="M600" s="226">
        <f t="shared" si="245"/>
        <v>3.8</v>
      </c>
      <c r="N600" s="226">
        <f t="shared" si="245"/>
        <v>3.8</v>
      </c>
      <c r="O600" s="226">
        <f t="shared" si="245"/>
        <v>3.8</v>
      </c>
      <c r="P600" s="226">
        <f t="shared" si="245"/>
        <v>3.8</v>
      </c>
      <c r="Q600" s="226">
        <f t="shared" si="245"/>
        <v>3.8</v>
      </c>
      <c r="R600" s="226">
        <f t="shared" si="245"/>
        <v>3.8</v>
      </c>
      <c r="S600" s="226">
        <f t="shared" si="245"/>
        <v>3.8</v>
      </c>
      <c r="T600" s="226">
        <f t="shared" si="245"/>
        <v>3.8</v>
      </c>
      <c r="U600" s="226">
        <f t="shared" si="245"/>
        <v>3.8</v>
      </c>
      <c r="V600" s="226">
        <f t="shared" si="245"/>
        <v>3.8</v>
      </c>
      <c r="W600" s="226">
        <f t="shared" si="245"/>
        <v>3.8</v>
      </c>
      <c r="X600" s="226">
        <f t="shared" si="245"/>
        <v>3.8</v>
      </c>
      <c r="Y600" s="226">
        <f t="shared" si="245"/>
        <v>3.8</v>
      </c>
      <c r="Z600" s="226">
        <f t="shared" si="245"/>
        <v>3.8</v>
      </c>
      <c r="AA600" s="226">
        <f t="shared" si="245"/>
        <v>3.8</v>
      </c>
      <c r="AB600" s="226">
        <f t="shared" si="245"/>
        <v>3.8</v>
      </c>
      <c r="AC600" s="226">
        <f t="shared" si="245"/>
        <v>3.8</v>
      </c>
      <c r="AD600" s="226">
        <f t="shared" si="245"/>
        <v>3.8</v>
      </c>
    </row>
    <row r="601" spans="1:30" s="65" customFormat="1" outlineLevel="1">
      <c r="A601" s="282" t="s">
        <v>588</v>
      </c>
      <c r="B601" s="54"/>
      <c r="C601" s="54"/>
      <c r="D601" s="54"/>
      <c r="E601" s="54"/>
      <c r="F601" s="54"/>
      <c r="G601" s="54"/>
      <c r="H601" s="54"/>
      <c r="I601" s="54"/>
      <c r="J601" s="54"/>
      <c r="K601" s="54"/>
      <c r="L601" s="54"/>
      <c r="M601" s="54"/>
      <c r="N601" s="54"/>
      <c r="O601" s="54"/>
      <c r="P601" s="54"/>
      <c r="Q601" s="54"/>
      <c r="R601" s="54"/>
      <c r="S601" s="54"/>
      <c r="T601" s="54"/>
      <c r="U601" s="54"/>
      <c r="V601" s="54"/>
      <c r="W601" s="54"/>
      <c r="X601" s="54"/>
      <c r="Y601" s="54"/>
      <c r="Z601" s="54"/>
      <c r="AA601" s="54"/>
      <c r="AB601" s="54"/>
      <c r="AC601" s="54"/>
      <c r="AD601" s="54"/>
    </row>
    <row r="602" spans="1:30" outlineLevel="1">
      <c r="A602" s="214" t="s">
        <v>375</v>
      </c>
      <c r="B602" s="214" t="s">
        <v>293</v>
      </c>
      <c r="C602" s="42"/>
      <c r="D602" s="219">
        <v>0</v>
      </c>
      <c r="E602" s="219">
        <f t="shared" ref="E602:AD602" si="246">D602</f>
        <v>0</v>
      </c>
      <c r="F602" s="219">
        <f t="shared" si="246"/>
        <v>0</v>
      </c>
      <c r="G602" s="219">
        <f t="shared" si="246"/>
        <v>0</v>
      </c>
      <c r="H602" s="219">
        <f t="shared" si="246"/>
        <v>0</v>
      </c>
      <c r="I602" s="219">
        <f t="shared" si="246"/>
        <v>0</v>
      </c>
      <c r="J602" s="219">
        <f t="shared" si="246"/>
        <v>0</v>
      </c>
      <c r="K602" s="219">
        <f t="shared" si="246"/>
        <v>0</v>
      </c>
      <c r="L602" s="219">
        <f t="shared" si="246"/>
        <v>0</v>
      </c>
      <c r="M602" s="219">
        <f t="shared" si="246"/>
        <v>0</v>
      </c>
      <c r="N602" s="219">
        <f t="shared" si="246"/>
        <v>0</v>
      </c>
      <c r="O602" s="219">
        <f t="shared" si="246"/>
        <v>0</v>
      </c>
      <c r="P602" s="219">
        <f t="shared" si="246"/>
        <v>0</v>
      </c>
      <c r="Q602" s="219">
        <f t="shared" si="246"/>
        <v>0</v>
      </c>
      <c r="R602" s="219">
        <f t="shared" si="246"/>
        <v>0</v>
      </c>
      <c r="S602" s="219">
        <f t="shared" si="246"/>
        <v>0</v>
      </c>
      <c r="T602" s="219">
        <f t="shared" si="246"/>
        <v>0</v>
      </c>
      <c r="U602" s="219">
        <f t="shared" si="246"/>
        <v>0</v>
      </c>
      <c r="V602" s="219">
        <f t="shared" si="246"/>
        <v>0</v>
      </c>
      <c r="W602" s="219">
        <f t="shared" si="246"/>
        <v>0</v>
      </c>
      <c r="X602" s="219">
        <f t="shared" si="246"/>
        <v>0</v>
      </c>
      <c r="Y602" s="219">
        <f t="shared" si="246"/>
        <v>0</v>
      </c>
      <c r="Z602" s="219">
        <f t="shared" si="246"/>
        <v>0</v>
      </c>
      <c r="AA602" s="219">
        <f t="shared" si="246"/>
        <v>0</v>
      </c>
      <c r="AB602" s="219">
        <f t="shared" si="246"/>
        <v>0</v>
      </c>
      <c r="AC602" s="219">
        <f t="shared" si="246"/>
        <v>0</v>
      </c>
      <c r="AD602" s="219">
        <f t="shared" si="246"/>
        <v>0</v>
      </c>
    </row>
    <row r="603" spans="1:30" s="45" customFormat="1" ht="15.5" outlineLevel="1">
      <c r="A603" s="82" t="str">
        <f>A597</f>
        <v>Exploration &amp; Geotechnical</v>
      </c>
      <c r="B603" s="13" t="s">
        <v>407</v>
      </c>
      <c r="C603" s="44">
        <f>SUM(D603:AD603)</f>
        <v>56.999999999999986</v>
      </c>
      <c r="D603" s="293">
        <f t="shared" ref="D603:AD603" si="247">IF(F599=0,0,D600+D602)</f>
        <v>3.8</v>
      </c>
      <c r="E603" s="293">
        <f t="shared" si="247"/>
        <v>3.8</v>
      </c>
      <c r="F603" s="293">
        <f t="shared" si="247"/>
        <v>3.8</v>
      </c>
      <c r="G603" s="293">
        <f t="shared" si="247"/>
        <v>3.8</v>
      </c>
      <c r="H603" s="293">
        <f t="shared" si="247"/>
        <v>3.8</v>
      </c>
      <c r="I603" s="293">
        <f t="shared" si="247"/>
        <v>3.8</v>
      </c>
      <c r="J603" s="293">
        <f t="shared" si="247"/>
        <v>3.8</v>
      </c>
      <c r="K603" s="293">
        <f t="shared" si="247"/>
        <v>3.8</v>
      </c>
      <c r="L603" s="293">
        <f t="shared" si="247"/>
        <v>3.8</v>
      </c>
      <c r="M603" s="293">
        <f t="shared" si="247"/>
        <v>3.8</v>
      </c>
      <c r="N603" s="293">
        <f t="shared" si="247"/>
        <v>3.8</v>
      </c>
      <c r="O603" s="293">
        <f t="shared" si="247"/>
        <v>3.8</v>
      </c>
      <c r="P603" s="293">
        <f t="shared" si="247"/>
        <v>3.8</v>
      </c>
      <c r="Q603" s="293">
        <f t="shared" si="247"/>
        <v>3.8</v>
      </c>
      <c r="R603" s="293">
        <f t="shared" si="247"/>
        <v>3.8</v>
      </c>
      <c r="S603" s="293">
        <f t="shared" si="247"/>
        <v>0</v>
      </c>
      <c r="T603" s="293">
        <f t="shared" si="247"/>
        <v>0</v>
      </c>
      <c r="U603" s="293">
        <f t="shared" si="247"/>
        <v>0</v>
      </c>
      <c r="V603" s="293">
        <f t="shared" si="247"/>
        <v>0</v>
      </c>
      <c r="W603" s="293">
        <f t="shared" si="247"/>
        <v>0</v>
      </c>
      <c r="X603" s="293">
        <f t="shared" si="247"/>
        <v>0</v>
      </c>
      <c r="Y603" s="293">
        <f t="shared" si="247"/>
        <v>0</v>
      </c>
      <c r="Z603" s="293">
        <f t="shared" si="247"/>
        <v>0</v>
      </c>
      <c r="AA603" s="293">
        <f t="shared" si="247"/>
        <v>0</v>
      </c>
      <c r="AB603" s="293">
        <f t="shared" si="247"/>
        <v>0</v>
      </c>
      <c r="AC603" s="293">
        <f t="shared" si="247"/>
        <v>0</v>
      </c>
      <c r="AD603" s="293">
        <f t="shared" si="247"/>
        <v>0</v>
      </c>
    </row>
    <row r="604" spans="1:30" s="45" customFormat="1" outlineLevel="1">
      <c r="A604" s="59"/>
      <c r="B604" s="13"/>
      <c r="C604" s="44"/>
      <c r="D604" s="44"/>
      <c r="E604" s="44"/>
      <c r="F604" s="44"/>
      <c r="G604" s="44"/>
      <c r="H604" s="44"/>
      <c r="I604" s="44"/>
      <c r="J604" s="44"/>
      <c r="K604" s="44"/>
      <c r="L604" s="44"/>
      <c r="M604" s="44"/>
      <c r="N604" s="44"/>
      <c r="O604" s="44"/>
      <c r="P604" s="44"/>
      <c r="Q604" s="44"/>
      <c r="R604" s="44"/>
      <c r="S604" s="44"/>
      <c r="T604" s="44"/>
      <c r="U604" s="44"/>
      <c r="V604" s="44"/>
      <c r="W604" s="44"/>
      <c r="X604" s="44"/>
      <c r="Y604" s="44"/>
      <c r="Z604" s="44"/>
      <c r="AA604" s="44"/>
      <c r="AB604" s="44"/>
      <c r="AC604" s="44"/>
      <c r="AD604" s="44"/>
    </row>
    <row r="605" spans="1:30" s="8" customFormat="1" ht="15.5">
      <c r="A605" s="242" t="str">
        <f>'Expected NPV &amp; Common Data'!A$36</f>
        <v>Calendar Year --&gt;</v>
      </c>
      <c r="B605" s="243" t="str">
        <f>'Expected NPV &amp; Common Data'!B$36</f>
        <v>units</v>
      </c>
      <c r="C605" s="244" t="str">
        <f>'Expected NPV &amp; Common Data'!C$36</f>
        <v>Total</v>
      </c>
      <c r="D605" s="245">
        <f>'Expected NPV &amp; Common Data'!D$36</f>
        <v>2027</v>
      </c>
      <c r="E605" s="245">
        <f>'Expected NPV &amp; Common Data'!E$36</f>
        <v>2028</v>
      </c>
      <c r="F605" s="245">
        <f>'Expected NPV &amp; Common Data'!F$36</f>
        <v>2029</v>
      </c>
      <c r="G605" s="245">
        <f>'Expected NPV &amp; Common Data'!G$36</f>
        <v>2030</v>
      </c>
      <c r="H605" s="245">
        <f>'Expected NPV &amp; Common Data'!H$36</f>
        <v>2031</v>
      </c>
      <c r="I605" s="245">
        <f>'Expected NPV &amp; Common Data'!I$36</f>
        <v>2032</v>
      </c>
      <c r="J605" s="245">
        <f>'Expected NPV &amp; Common Data'!J$36</f>
        <v>2033</v>
      </c>
      <c r="K605" s="245">
        <f>'Expected NPV &amp; Common Data'!K$36</f>
        <v>2034</v>
      </c>
      <c r="L605" s="245">
        <f>'Expected NPV &amp; Common Data'!L$36</f>
        <v>2035</v>
      </c>
      <c r="M605" s="245">
        <f>'Expected NPV &amp; Common Data'!M$36</f>
        <v>2036</v>
      </c>
      <c r="N605" s="245">
        <f>'Expected NPV &amp; Common Data'!N$36</f>
        <v>2037</v>
      </c>
      <c r="O605" s="245">
        <f>'Expected NPV &amp; Common Data'!O$36</f>
        <v>2038</v>
      </c>
      <c r="P605" s="245">
        <f>'Expected NPV &amp; Common Data'!P$36</f>
        <v>2039</v>
      </c>
      <c r="Q605" s="245">
        <f>'Expected NPV &amp; Common Data'!Q$36</f>
        <v>2040</v>
      </c>
      <c r="R605" s="245">
        <f>'Expected NPV &amp; Common Data'!R$36</f>
        <v>2041</v>
      </c>
      <c r="S605" s="245">
        <f>'Expected NPV &amp; Common Data'!S$36</f>
        <v>2042</v>
      </c>
      <c r="T605" s="245">
        <f>'Expected NPV &amp; Common Data'!T$36</f>
        <v>2043</v>
      </c>
      <c r="U605" s="245">
        <f>'Expected NPV &amp; Common Data'!U$36</f>
        <v>2044</v>
      </c>
      <c r="V605" s="245">
        <f>'Expected NPV &amp; Common Data'!V$36</f>
        <v>2045</v>
      </c>
      <c r="W605" s="245">
        <f>'Expected NPV &amp; Common Data'!W$36</f>
        <v>2046</v>
      </c>
      <c r="X605" s="245">
        <f>'Expected NPV &amp; Common Data'!X$36</f>
        <v>2047</v>
      </c>
      <c r="Y605" s="245">
        <f>'Expected NPV &amp; Common Data'!Y$36</f>
        <v>2048</v>
      </c>
      <c r="Z605" s="245">
        <f>'Expected NPV &amp; Common Data'!Z$36</f>
        <v>2049</v>
      </c>
      <c r="AA605" s="245">
        <f>'Expected NPV &amp; Common Data'!AA$36</f>
        <v>2050</v>
      </c>
      <c r="AB605" s="245">
        <f>'Expected NPV &amp; Common Data'!AB$36</f>
        <v>2051</v>
      </c>
      <c r="AC605" s="245">
        <f>'Expected NPV &amp; Common Data'!AC$36</f>
        <v>2052</v>
      </c>
      <c r="AD605" s="245">
        <f>'Expected NPV &amp; Common Data'!AD$36</f>
        <v>2053</v>
      </c>
    </row>
    <row r="606" spans="1:30" ht="64.75" customHeight="1">
      <c r="A606" s="23" t="s">
        <v>84</v>
      </c>
      <c r="D606" s="15"/>
      <c r="E606" s="15"/>
      <c r="F606" s="15"/>
      <c r="G606" s="15"/>
      <c r="H606" s="15"/>
      <c r="I606" s="15"/>
      <c r="J606" s="15"/>
      <c r="K606" s="15"/>
      <c r="L606" s="15"/>
      <c r="M606" s="15"/>
      <c r="N606" s="15"/>
      <c r="O606" s="15"/>
      <c r="P606" s="15"/>
      <c r="Q606" s="15"/>
      <c r="R606" s="15"/>
      <c r="S606" s="15"/>
      <c r="T606" s="15"/>
      <c r="U606" s="15"/>
      <c r="V606" s="15"/>
      <c r="W606" s="15"/>
      <c r="X606" s="15"/>
      <c r="Y606" s="15"/>
      <c r="Z606" s="15"/>
      <c r="AA606" s="15"/>
      <c r="AB606" s="15"/>
      <c r="AC606" s="15"/>
      <c r="AD606" s="15"/>
    </row>
    <row r="607" spans="1:30" s="65" customFormat="1" outlineLevel="1">
      <c r="A607" s="282" t="s">
        <v>589</v>
      </c>
      <c r="B607" s="52"/>
      <c r="C607" s="54"/>
      <c r="D607" s="54"/>
      <c r="E607" s="54"/>
      <c r="F607" s="54"/>
      <c r="G607" s="54"/>
      <c r="H607" s="54"/>
      <c r="I607" s="54"/>
      <c r="J607" s="54"/>
      <c r="K607" s="54"/>
      <c r="L607" s="54"/>
      <c r="M607" s="54"/>
      <c r="N607" s="54"/>
      <c r="O607" s="54"/>
      <c r="P607" s="54"/>
      <c r="Q607" s="54"/>
      <c r="R607" s="54"/>
      <c r="S607" s="54"/>
      <c r="T607" s="54"/>
      <c r="U607" s="54"/>
      <c r="V607" s="54"/>
      <c r="W607" s="54"/>
      <c r="X607" s="54"/>
      <c r="Y607" s="54"/>
      <c r="Z607" s="54"/>
      <c r="AA607" s="54"/>
      <c r="AB607" s="54"/>
      <c r="AC607" s="54"/>
      <c r="AD607" s="54"/>
    </row>
    <row r="608" spans="1:30" s="45" customFormat="1" outlineLevel="1">
      <c r="A608" s="134" t="s">
        <v>567</v>
      </c>
      <c r="B608" s="13"/>
      <c r="C608" s="53"/>
      <c r="D608" s="44"/>
      <c r="E608" s="44"/>
      <c r="F608" s="44"/>
      <c r="G608" s="44"/>
      <c r="H608" s="44"/>
      <c r="I608" s="44"/>
      <c r="J608" s="44"/>
      <c r="K608" s="44"/>
      <c r="L608" s="44"/>
      <c r="M608" s="44"/>
      <c r="N608" s="44"/>
      <c r="O608" s="44"/>
      <c r="P608" s="44"/>
      <c r="Q608" s="44"/>
      <c r="R608" s="44"/>
      <c r="S608" s="44"/>
      <c r="T608" s="44"/>
      <c r="U608" s="44"/>
      <c r="V608" s="44"/>
      <c r="W608" s="44"/>
      <c r="X608" s="44"/>
      <c r="Y608" s="44"/>
      <c r="Z608" s="44"/>
      <c r="AA608" s="44"/>
      <c r="AB608" s="44"/>
      <c r="AC608" s="44"/>
      <c r="AD608" s="44"/>
    </row>
    <row r="609" spans="1:30" s="8" customFormat="1" ht="15.5" outlineLevel="1">
      <c r="A609" s="81" t="s">
        <v>158</v>
      </c>
      <c r="C609" s="4"/>
      <c r="D609" s="4"/>
      <c r="E609" s="4"/>
      <c r="F609" s="4"/>
      <c r="G609" s="4"/>
      <c r="H609" s="4"/>
      <c r="I609" s="4"/>
      <c r="J609" s="4"/>
      <c r="K609" s="4"/>
      <c r="L609" s="4"/>
      <c r="M609" s="4"/>
      <c r="N609" s="4"/>
      <c r="O609" s="4"/>
      <c r="P609" s="4"/>
      <c r="Q609" s="4"/>
      <c r="R609" s="4"/>
      <c r="S609" s="4"/>
      <c r="T609" s="4"/>
      <c r="U609" s="4"/>
      <c r="V609" s="4"/>
      <c r="W609" s="4"/>
      <c r="X609" s="4"/>
      <c r="Y609" s="4"/>
      <c r="Z609" s="4"/>
      <c r="AA609" s="4"/>
      <c r="AB609" s="4"/>
      <c r="AC609" s="4"/>
      <c r="AD609" s="4"/>
    </row>
    <row r="610" spans="1:30" outlineLevel="1">
      <c r="A610" s="214" t="s">
        <v>358</v>
      </c>
      <c r="B610" s="214" t="s">
        <v>350</v>
      </c>
      <c r="C610" s="215"/>
      <c r="D610" s="220"/>
      <c r="E610" s="220"/>
      <c r="F610" s="220"/>
      <c r="G610" s="220">
        <v>0.01</v>
      </c>
      <c r="H610" s="220">
        <f t="shared" ref="H610:AD610" si="248">G610</f>
        <v>0.01</v>
      </c>
      <c r="I610" s="220">
        <f t="shared" si="248"/>
        <v>0.01</v>
      </c>
      <c r="J610" s="220">
        <f t="shared" si="248"/>
        <v>0.01</v>
      </c>
      <c r="K610" s="220">
        <f t="shared" si="248"/>
        <v>0.01</v>
      </c>
      <c r="L610" s="220">
        <f t="shared" si="248"/>
        <v>0.01</v>
      </c>
      <c r="M610" s="220">
        <f t="shared" si="248"/>
        <v>0.01</v>
      </c>
      <c r="N610" s="220">
        <f t="shared" si="248"/>
        <v>0.01</v>
      </c>
      <c r="O610" s="220">
        <f t="shared" si="248"/>
        <v>0.01</v>
      </c>
      <c r="P610" s="220">
        <f t="shared" si="248"/>
        <v>0.01</v>
      </c>
      <c r="Q610" s="220">
        <f t="shared" si="248"/>
        <v>0.01</v>
      </c>
      <c r="R610" s="220">
        <f t="shared" si="248"/>
        <v>0.01</v>
      </c>
      <c r="S610" s="220">
        <f t="shared" si="248"/>
        <v>0.01</v>
      </c>
      <c r="T610" s="220">
        <f t="shared" si="248"/>
        <v>0.01</v>
      </c>
      <c r="U610" s="220">
        <f t="shared" si="248"/>
        <v>0.01</v>
      </c>
      <c r="V610" s="220">
        <f t="shared" si="248"/>
        <v>0.01</v>
      </c>
      <c r="W610" s="220">
        <f t="shared" si="248"/>
        <v>0.01</v>
      </c>
      <c r="X610" s="220">
        <f t="shared" si="248"/>
        <v>0.01</v>
      </c>
      <c r="Y610" s="220">
        <f t="shared" si="248"/>
        <v>0.01</v>
      </c>
      <c r="Z610" s="220">
        <f t="shared" si="248"/>
        <v>0.01</v>
      </c>
      <c r="AA610" s="220">
        <f t="shared" si="248"/>
        <v>0.01</v>
      </c>
      <c r="AB610" s="220">
        <f t="shared" si="248"/>
        <v>0.01</v>
      </c>
      <c r="AC610" s="220">
        <f t="shared" si="248"/>
        <v>0.01</v>
      </c>
      <c r="AD610" s="220">
        <f t="shared" si="248"/>
        <v>0.01</v>
      </c>
    </row>
    <row r="611" spans="1:30" s="45" customFormat="1" outlineLevel="1">
      <c r="A611" s="45" t="str">
        <f>A610</f>
        <v>real increase in transport costs</v>
      </c>
      <c r="B611" s="13" t="s">
        <v>124</v>
      </c>
      <c r="C611" s="42"/>
      <c r="D611" s="294">
        <v>1</v>
      </c>
      <c r="E611" s="57">
        <f t="shared" ref="E611:AD611" si="249">D611*(1+E610)</f>
        <v>1</v>
      </c>
      <c r="F611" s="57">
        <f t="shared" si="249"/>
        <v>1</v>
      </c>
      <c r="G611" s="57">
        <f t="shared" si="249"/>
        <v>1.01</v>
      </c>
      <c r="H611" s="57">
        <f t="shared" si="249"/>
        <v>1.0201</v>
      </c>
      <c r="I611" s="57">
        <f t="shared" si="249"/>
        <v>1.0303009999999999</v>
      </c>
      <c r="J611" s="57">
        <f t="shared" si="249"/>
        <v>1.04060401</v>
      </c>
      <c r="K611" s="57">
        <f t="shared" si="249"/>
        <v>1.0510100500999999</v>
      </c>
      <c r="L611" s="57">
        <f t="shared" si="249"/>
        <v>1.0615201506009999</v>
      </c>
      <c r="M611" s="57">
        <f t="shared" si="249"/>
        <v>1.0721353521070098</v>
      </c>
      <c r="N611" s="57">
        <f t="shared" si="249"/>
        <v>1.08285670562808</v>
      </c>
      <c r="O611" s="57">
        <f t="shared" si="249"/>
        <v>1.0936852726843609</v>
      </c>
      <c r="P611" s="57">
        <f t="shared" si="249"/>
        <v>1.1046221254112045</v>
      </c>
      <c r="Q611" s="57">
        <f t="shared" si="249"/>
        <v>1.1156683466653166</v>
      </c>
      <c r="R611" s="57">
        <f t="shared" si="249"/>
        <v>1.1268250301319698</v>
      </c>
      <c r="S611" s="57">
        <f t="shared" si="249"/>
        <v>1.1380932804332895</v>
      </c>
      <c r="T611" s="57">
        <f t="shared" si="249"/>
        <v>1.1494742132376223</v>
      </c>
      <c r="U611" s="57">
        <f t="shared" si="249"/>
        <v>1.1609689553699987</v>
      </c>
      <c r="V611" s="57">
        <f t="shared" si="249"/>
        <v>1.1725786449236986</v>
      </c>
      <c r="W611" s="57">
        <f t="shared" si="249"/>
        <v>1.1843044313729356</v>
      </c>
      <c r="X611" s="57">
        <f t="shared" si="249"/>
        <v>1.196147475686665</v>
      </c>
      <c r="Y611" s="57">
        <f t="shared" si="249"/>
        <v>1.2081089504435316</v>
      </c>
      <c r="Z611" s="57">
        <f t="shared" si="249"/>
        <v>1.220190039947967</v>
      </c>
      <c r="AA611" s="57">
        <f t="shared" si="249"/>
        <v>1.2323919403474468</v>
      </c>
      <c r="AB611" s="57">
        <f t="shared" si="249"/>
        <v>1.2447158597509214</v>
      </c>
      <c r="AC611" s="57">
        <f t="shared" si="249"/>
        <v>1.2571630183484306</v>
      </c>
      <c r="AD611" s="57">
        <f t="shared" si="249"/>
        <v>1.269734648531915</v>
      </c>
    </row>
    <row r="612" spans="1:30" s="45" customFormat="1" outlineLevel="1">
      <c r="B612" s="13"/>
      <c r="C612" s="42"/>
      <c r="D612" s="57"/>
      <c r="E612" s="57"/>
      <c r="F612" s="57"/>
      <c r="G612" s="57"/>
      <c r="H612" s="57"/>
      <c r="I612" s="57"/>
      <c r="J612" s="57"/>
      <c r="K612" s="57"/>
      <c r="L612" s="57"/>
      <c r="M612" s="57"/>
      <c r="N612" s="57"/>
      <c r="O612" s="57"/>
      <c r="P612" s="57"/>
      <c r="Q612" s="57"/>
      <c r="R612" s="57"/>
      <c r="S612" s="57"/>
      <c r="T612" s="57"/>
      <c r="U612" s="57"/>
      <c r="V612" s="57"/>
      <c r="W612" s="57"/>
      <c r="X612" s="57"/>
      <c r="Y612" s="57"/>
      <c r="Z612" s="57"/>
      <c r="AA612" s="57"/>
      <c r="AB612" s="57"/>
      <c r="AC612" s="57"/>
      <c r="AD612" s="57"/>
    </row>
    <row r="613" spans="1:30" s="100" customFormat="1" ht="23.4" customHeight="1" outlineLevel="1">
      <c r="A613" s="24" t="s">
        <v>356</v>
      </c>
      <c r="C613" s="85"/>
      <c r="D613" s="85"/>
      <c r="E613" s="85"/>
      <c r="F613" s="85"/>
      <c r="G613" s="85"/>
      <c r="H613" s="85"/>
      <c r="I613" s="85"/>
      <c r="J613" s="85"/>
      <c r="K613" s="85"/>
      <c r="L613" s="85"/>
      <c r="M613" s="85"/>
      <c r="N613" s="85"/>
      <c r="O613" s="85"/>
      <c r="P613" s="85"/>
      <c r="Q613" s="85"/>
      <c r="R613" s="85"/>
      <c r="S613" s="85"/>
      <c r="T613" s="85"/>
      <c r="U613" s="85"/>
      <c r="V613" s="85"/>
      <c r="W613" s="85"/>
      <c r="X613" s="85"/>
      <c r="Y613" s="85"/>
      <c r="Z613" s="85"/>
      <c r="AA613" s="85"/>
      <c r="AB613" s="85"/>
      <c r="AC613" s="85"/>
      <c r="AD613" s="85"/>
    </row>
    <row r="614" spans="1:30" outlineLevel="1">
      <c r="A614" s="214" t="s">
        <v>157</v>
      </c>
      <c r="B614" s="214" t="s">
        <v>351</v>
      </c>
      <c r="C614" s="42"/>
      <c r="D614" s="288">
        <v>0.2</v>
      </c>
      <c r="E614" s="288">
        <f t="shared" ref="E614:AD614" si="250">D614</f>
        <v>0.2</v>
      </c>
      <c r="F614" s="288">
        <f t="shared" si="250"/>
        <v>0.2</v>
      </c>
      <c r="G614" s="288">
        <f t="shared" si="250"/>
        <v>0.2</v>
      </c>
      <c r="H614" s="288">
        <f t="shared" si="250"/>
        <v>0.2</v>
      </c>
      <c r="I614" s="288">
        <f t="shared" si="250"/>
        <v>0.2</v>
      </c>
      <c r="J614" s="288">
        <f t="shared" si="250"/>
        <v>0.2</v>
      </c>
      <c r="K614" s="288">
        <f t="shared" si="250"/>
        <v>0.2</v>
      </c>
      <c r="L614" s="288">
        <f t="shared" si="250"/>
        <v>0.2</v>
      </c>
      <c r="M614" s="288">
        <f t="shared" si="250"/>
        <v>0.2</v>
      </c>
      <c r="N614" s="288">
        <f t="shared" si="250"/>
        <v>0.2</v>
      </c>
      <c r="O614" s="288">
        <f t="shared" si="250"/>
        <v>0.2</v>
      </c>
      <c r="P614" s="288">
        <f t="shared" si="250"/>
        <v>0.2</v>
      </c>
      <c r="Q614" s="288">
        <f t="shared" si="250"/>
        <v>0.2</v>
      </c>
      <c r="R614" s="288">
        <f t="shared" si="250"/>
        <v>0.2</v>
      </c>
      <c r="S614" s="288">
        <f t="shared" si="250"/>
        <v>0.2</v>
      </c>
      <c r="T614" s="288">
        <f t="shared" si="250"/>
        <v>0.2</v>
      </c>
      <c r="U614" s="288">
        <f t="shared" si="250"/>
        <v>0.2</v>
      </c>
      <c r="V614" s="288">
        <f t="shared" si="250"/>
        <v>0.2</v>
      </c>
      <c r="W614" s="288">
        <f t="shared" si="250"/>
        <v>0.2</v>
      </c>
      <c r="X614" s="288">
        <f t="shared" si="250"/>
        <v>0.2</v>
      </c>
      <c r="Y614" s="288">
        <f t="shared" si="250"/>
        <v>0.2</v>
      </c>
      <c r="Z614" s="288">
        <f t="shared" si="250"/>
        <v>0.2</v>
      </c>
      <c r="AA614" s="288">
        <f t="shared" si="250"/>
        <v>0.2</v>
      </c>
      <c r="AB614" s="288">
        <f t="shared" si="250"/>
        <v>0.2</v>
      </c>
      <c r="AC614" s="288">
        <f t="shared" si="250"/>
        <v>0.2</v>
      </c>
      <c r="AD614" s="288">
        <f t="shared" si="250"/>
        <v>0.2</v>
      </c>
    </row>
    <row r="615" spans="1:30" s="45" customFormat="1" outlineLevel="1">
      <c r="A615" s="45" t="str">
        <f>A611</f>
        <v>real increase in transport costs</v>
      </c>
      <c r="B615" s="45" t="str">
        <f>B611</f>
        <v>factor</v>
      </c>
      <c r="C615" s="42"/>
      <c r="D615" s="57">
        <f t="shared" ref="D615:AD615" si="251">D611</f>
        <v>1</v>
      </c>
      <c r="E615" s="57">
        <f t="shared" si="251"/>
        <v>1</v>
      </c>
      <c r="F615" s="57">
        <f t="shared" si="251"/>
        <v>1</v>
      </c>
      <c r="G615" s="57">
        <f t="shared" si="251"/>
        <v>1.01</v>
      </c>
      <c r="H615" s="57">
        <f t="shared" si="251"/>
        <v>1.0201</v>
      </c>
      <c r="I615" s="57">
        <f t="shared" si="251"/>
        <v>1.0303009999999999</v>
      </c>
      <c r="J615" s="57">
        <f t="shared" si="251"/>
        <v>1.04060401</v>
      </c>
      <c r="K615" s="57">
        <f t="shared" si="251"/>
        <v>1.0510100500999999</v>
      </c>
      <c r="L615" s="57">
        <f t="shared" si="251"/>
        <v>1.0615201506009999</v>
      </c>
      <c r="M615" s="57">
        <f t="shared" si="251"/>
        <v>1.0721353521070098</v>
      </c>
      <c r="N615" s="57">
        <f t="shared" si="251"/>
        <v>1.08285670562808</v>
      </c>
      <c r="O615" s="57">
        <f t="shared" si="251"/>
        <v>1.0936852726843609</v>
      </c>
      <c r="P615" s="57">
        <f t="shared" si="251"/>
        <v>1.1046221254112045</v>
      </c>
      <c r="Q615" s="57">
        <f t="shared" si="251"/>
        <v>1.1156683466653166</v>
      </c>
      <c r="R615" s="57">
        <f t="shared" si="251"/>
        <v>1.1268250301319698</v>
      </c>
      <c r="S615" s="57">
        <f t="shared" si="251"/>
        <v>1.1380932804332895</v>
      </c>
      <c r="T615" s="57">
        <f t="shared" si="251"/>
        <v>1.1494742132376223</v>
      </c>
      <c r="U615" s="57">
        <f t="shared" si="251"/>
        <v>1.1609689553699987</v>
      </c>
      <c r="V615" s="57">
        <f t="shared" si="251"/>
        <v>1.1725786449236986</v>
      </c>
      <c r="W615" s="57">
        <f t="shared" si="251"/>
        <v>1.1843044313729356</v>
      </c>
      <c r="X615" s="57">
        <f t="shared" si="251"/>
        <v>1.196147475686665</v>
      </c>
      <c r="Y615" s="57">
        <f t="shared" si="251"/>
        <v>1.2081089504435316</v>
      </c>
      <c r="Z615" s="57">
        <f t="shared" si="251"/>
        <v>1.220190039947967</v>
      </c>
      <c r="AA615" s="57">
        <f t="shared" si="251"/>
        <v>1.2323919403474468</v>
      </c>
      <c r="AB615" s="57">
        <f t="shared" si="251"/>
        <v>1.2447158597509214</v>
      </c>
      <c r="AC615" s="57">
        <f t="shared" si="251"/>
        <v>1.2571630183484306</v>
      </c>
      <c r="AD615" s="57">
        <f t="shared" si="251"/>
        <v>1.269734648531915</v>
      </c>
    </row>
    <row r="616" spans="1:30" outlineLevel="1">
      <c r="A616" s="214" t="s">
        <v>352</v>
      </c>
      <c r="B616" s="214" t="s">
        <v>129</v>
      </c>
      <c r="C616" s="42"/>
      <c r="D616" s="219">
        <v>184</v>
      </c>
      <c r="E616" s="219">
        <f t="shared" ref="E616:AD616" si="252">D616</f>
        <v>184</v>
      </c>
      <c r="F616" s="219">
        <f t="shared" si="252"/>
        <v>184</v>
      </c>
      <c r="G616" s="219">
        <f t="shared" si="252"/>
        <v>184</v>
      </c>
      <c r="H616" s="219">
        <f t="shared" si="252"/>
        <v>184</v>
      </c>
      <c r="I616" s="219">
        <f t="shared" si="252"/>
        <v>184</v>
      </c>
      <c r="J616" s="219">
        <f t="shared" si="252"/>
        <v>184</v>
      </c>
      <c r="K616" s="219">
        <f t="shared" si="252"/>
        <v>184</v>
      </c>
      <c r="L616" s="219">
        <f t="shared" si="252"/>
        <v>184</v>
      </c>
      <c r="M616" s="219">
        <f t="shared" si="252"/>
        <v>184</v>
      </c>
      <c r="N616" s="219">
        <f t="shared" si="252"/>
        <v>184</v>
      </c>
      <c r="O616" s="219">
        <f t="shared" si="252"/>
        <v>184</v>
      </c>
      <c r="P616" s="219">
        <f t="shared" si="252"/>
        <v>184</v>
      </c>
      <c r="Q616" s="219">
        <f t="shared" si="252"/>
        <v>184</v>
      </c>
      <c r="R616" s="219">
        <f t="shared" si="252"/>
        <v>184</v>
      </c>
      <c r="S616" s="219">
        <f t="shared" si="252"/>
        <v>184</v>
      </c>
      <c r="T616" s="219">
        <f t="shared" si="252"/>
        <v>184</v>
      </c>
      <c r="U616" s="219">
        <f t="shared" si="252"/>
        <v>184</v>
      </c>
      <c r="V616" s="219">
        <f t="shared" si="252"/>
        <v>184</v>
      </c>
      <c r="W616" s="219">
        <f t="shared" si="252"/>
        <v>184</v>
      </c>
      <c r="X616" s="219">
        <f t="shared" si="252"/>
        <v>184</v>
      </c>
      <c r="Y616" s="219">
        <f t="shared" si="252"/>
        <v>184</v>
      </c>
      <c r="Z616" s="219">
        <f t="shared" si="252"/>
        <v>184</v>
      </c>
      <c r="AA616" s="219">
        <f t="shared" si="252"/>
        <v>184</v>
      </c>
      <c r="AB616" s="219">
        <f t="shared" si="252"/>
        <v>184</v>
      </c>
      <c r="AC616" s="219">
        <f t="shared" si="252"/>
        <v>184</v>
      </c>
      <c r="AD616" s="219">
        <f t="shared" si="252"/>
        <v>184</v>
      </c>
    </row>
    <row r="617" spans="1:30" s="45" customFormat="1" outlineLevel="1">
      <c r="A617" s="45" t="s">
        <v>130</v>
      </c>
      <c r="B617" s="45" t="s">
        <v>353</v>
      </c>
      <c r="C617" s="42"/>
      <c r="D617" s="42">
        <f t="shared" ref="D617:AD617" si="253">D614*D615*D616</f>
        <v>36.800000000000004</v>
      </c>
      <c r="E617" s="42">
        <f t="shared" si="253"/>
        <v>36.800000000000004</v>
      </c>
      <c r="F617" s="42">
        <f t="shared" si="253"/>
        <v>36.800000000000004</v>
      </c>
      <c r="G617" s="42">
        <f t="shared" si="253"/>
        <v>37.167999999999999</v>
      </c>
      <c r="H617" s="42">
        <f t="shared" si="253"/>
        <v>37.539680000000004</v>
      </c>
      <c r="I617" s="42">
        <f t="shared" si="253"/>
        <v>37.915076800000001</v>
      </c>
      <c r="J617" s="42">
        <f t="shared" si="253"/>
        <v>38.294227568000004</v>
      </c>
      <c r="K617" s="42">
        <f t="shared" si="253"/>
        <v>38.677169843679998</v>
      </c>
      <c r="L617" s="42">
        <f t="shared" si="253"/>
        <v>39.063941542116801</v>
      </c>
      <c r="M617" s="42">
        <f t="shared" si="253"/>
        <v>39.454580957537964</v>
      </c>
      <c r="N617" s="42">
        <f t="shared" si="253"/>
        <v>39.849126767113347</v>
      </c>
      <c r="O617" s="42">
        <f t="shared" si="253"/>
        <v>40.247618034784487</v>
      </c>
      <c r="P617" s="42">
        <f t="shared" si="253"/>
        <v>40.650094215132327</v>
      </c>
      <c r="Q617" s="42">
        <f t="shared" si="253"/>
        <v>41.056595157283652</v>
      </c>
      <c r="R617" s="42">
        <f t="shared" si="253"/>
        <v>41.467161108856494</v>
      </c>
      <c r="S617" s="42">
        <f t="shared" si="253"/>
        <v>41.881832719945052</v>
      </c>
      <c r="T617" s="42">
        <f t="shared" si="253"/>
        <v>42.300651047144498</v>
      </c>
      <c r="U617" s="42">
        <f t="shared" si="253"/>
        <v>42.723657557615951</v>
      </c>
      <c r="V617" s="42">
        <f t="shared" si="253"/>
        <v>43.150894133192111</v>
      </c>
      <c r="W617" s="42">
        <f t="shared" si="253"/>
        <v>43.582403074524031</v>
      </c>
      <c r="X617" s="42">
        <f t="shared" si="253"/>
        <v>44.018227105269276</v>
      </c>
      <c r="Y617" s="42">
        <f t="shared" si="253"/>
        <v>44.458409376321967</v>
      </c>
      <c r="Z617" s="42">
        <f t="shared" si="253"/>
        <v>44.902993470085185</v>
      </c>
      <c r="AA617" s="42">
        <f t="shared" si="253"/>
        <v>45.352023404786046</v>
      </c>
      <c r="AB617" s="42">
        <f t="shared" si="253"/>
        <v>45.80554363883391</v>
      </c>
      <c r="AC617" s="42">
        <f t="shared" si="253"/>
        <v>46.263599075222245</v>
      </c>
      <c r="AD617" s="42">
        <f t="shared" si="253"/>
        <v>46.726235065974471</v>
      </c>
    </row>
    <row r="618" spans="1:30" s="45" customFormat="1" outlineLevel="1">
      <c r="A618" s="45" t="str">
        <f>A195</f>
        <v>copper concentrate sold - wet</v>
      </c>
      <c r="B618" s="45" t="str">
        <f>B195</f>
        <v>000 tonnes WET</v>
      </c>
      <c r="C618" s="42">
        <f>SUM(D618:AD618)</f>
        <v>3421.5913978494632</v>
      </c>
      <c r="D618" s="42">
        <f t="shared" ref="D618:AD618" si="254">D195</f>
        <v>0</v>
      </c>
      <c r="E618" s="42">
        <f t="shared" si="254"/>
        <v>0</v>
      </c>
      <c r="F618" s="42">
        <f t="shared" si="254"/>
        <v>127.12044283260161</v>
      </c>
      <c r="G618" s="42">
        <f t="shared" si="254"/>
        <v>226.91760514093016</v>
      </c>
      <c r="H618" s="42">
        <f t="shared" si="254"/>
        <v>242.23655913978493</v>
      </c>
      <c r="I618" s="42">
        <f t="shared" si="254"/>
        <v>242.23655913978493</v>
      </c>
      <c r="J618" s="42">
        <f t="shared" si="254"/>
        <v>250.9038620601896</v>
      </c>
      <c r="K618" s="42">
        <f t="shared" si="254"/>
        <v>230.32741617357001</v>
      </c>
      <c r="L618" s="42">
        <f t="shared" si="254"/>
        <v>228.93139063858666</v>
      </c>
      <c r="M618" s="42">
        <f t="shared" si="254"/>
        <v>229.62007168458783</v>
      </c>
      <c r="N618" s="42">
        <f t="shared" si="254"/>
        <v>229.62007168458783</v>
      </c>
      <c r="O618" s="42">
        <f t="shared" si="254"/>
        <v>229.62007168458783</v>
      </c>
      <c r="P618" s="42">
        <f t="shared" si="254"/>
        <v>230.34234692795485</v>
      </c>
      <c r="Q618" s="42">
        <f t="shared" si="254"/>
        <v>223.51152679688659</v>
      </c>
      <c r="R618" s="42">
        <f t="shared" si="254"/>
        <v>222.05017921146953</v>
      </c>
      <c r="S618" s="42">
        <f t="shared" si="254"/>
        <v>222.05017921146953</v>
      </c>
      <c r="T618" s="42">
        <f t="shared" si="254"/>
        <v>286.10311552247038</v>
      </c>
      <c r="U618" s="42">
        <f t="shared" si="254"/>
        <v>0</v>
      </c>
      <c r="V618" s="42">
        <f t="shared" si="254"/>
        <v>0</v>
      </c>
      <c r="W618" s="42">
        <f t="shared" si="254"/>
        <v>0</v>
      </c>
      <c r="X618" s="42">
        <f t="shared" si="254"/>
        <v>0</v>
      </c>
      <c r="Y618" s="42">
        <f t="shared" si="254"/>
        <v>0</v>
      </c>
      <c r="Z618" s="42">
        <f t="shared" si="254"/>
        <v>0</v>
      </c>
      <c r="AA618" s="42">
        <f t="shared" si="254"/>
        <v>0</v>
      </c>
      <c r="AB618" s="42">
        <f t="shared" si="254"/>
        <v>0</v>
      </c>
      <c r="AC618" s="42">
        <f t="shared" si="254"/>
        <v>0</v>
      </c>
      <c r="AD618" s="42">
        <f t="shared" si="254"/>
        <v>0</v>
      </c>
    </row>
    <row r="619" spans="1:30" s="45" customFormat="1" outlineLevel="1">
      <c r="A619" s="45" t="s">
        <v>359</v>
      </c>
      <c r="B619" s="45" t="s">
        <v>284</v>
      </c>
      <c r="C619" s="42">
        <f>SUM(D619:AD619)</f>
        <v>135.45100258347381</v>
      </c>
      <c r="D619" s="56">
        <f t="shared" ref="D619:AD619" si="255">D617*D618/1000</f>
        <v>0</v>
      </c>
      <c r="E619" s="56">
        <f t="shared" si="255"/>
        <v>0</v>
      </c>
      <c r="F619" s="56">
        <f t="shared" si="255"/>
        <v>4.6780322962397394</v>
      </c>
      <c r="G619" s="56">
        <f t="shared" si="255"/>
        <v>8.434073547878091</v>
      </c>
      <c r="H619" s="56">
        <f t="shared" si="255"/>
        <v>9.0934829144086038</v>
      </c>
      <c r="I619" s="56">
        <f t="shared" si="255"/>
        <v>9.1844177435526877</v>
      </c>
      <c r="J619" s="56">
        <f t="shared" si="255"/>
        <v>9.6081695914229819</v>
      </c>
      <c r="K619" s="56">
        <f t="shared" si="255"/>
        <v>8.9084125950011348</v>
      </c>
      <c r="L619" s="56">
        <f t="shared" si="255"/>
        <v>8.9429624610612546</v>
      </c>
      <c r="M619" s="56">
        <f t="shared" si="255"/>
        <v>9.0595637077552418</v>
      </c>
      <c r="N619" s="56">
        <f t="shared" si="255"/>
        <v>9.1501593448327956</v>
      </c>
      <c r="O619" s="56">
        <f t="shared" si="255"/>
        <v>9.2416609382811234</v>
      </c>
      <c r="P619" s="56">
        <f t="shared" si="255"/>
        <v>9.3634381043560602</v>
      </c>
      <c r="Q619" s="56">
        <f t="shared" si="255"/>
        <v>9.1766222686861294</v>
      </c>
      <c r="R619" s="56">
        <f t="shared" si="255"/>
        <v>9.2077905556124637</v>
      </c>
      <c r="S619" s="56">
        <f t="shared" si="255"/>
        <v>9.2998684611685878</v>
      </c>
      <c r="T619" s="56">
        <f t="shared" si="255"/>
        <v>12.10234805321689</v>
      </c>
      <c r="U619" s="56">
        <f t="shared" si="255"/>
        <v>0</v>
      </c>
      <c r="V619" s="56">
        <f t="shared" si="255"/>
        <v>0</v>
      </c>
      <c r="W619" s="56">
        <f t="shared" si="255"/>
        <v>0</v>
      </c>
      <c r="X619" s="56">
        <f t="shared" si="255"/>
        <v>0</v>
      </c>
      <c r="Y619" s="56">
        <f t="shared" si="255"/>
        <v>0</v>
      </c>
      <c r="Z619" s="56">
        <f t="shared" si="255"/>
        <v>0</v>
      </c>
      <c r="AA619" s="56">
        <f t="shared" si="255"/>
        <v>0</v>
      </c>
      <c r="AB619" s="56">
        <f t="shared" si="255"/>
        <v>0</v>
      </c>
      <c r="AC619" s="56">
        <f t="shared" si="255"/>
        <v>0</v>
      </c>
      <c r="AD619" s="56">
        <f t="shared" si="255"/>
        <v>0</v>
      </c>
    </row>
    <row r="620" spans="1:30" s="45" customFormat="1" outlineLevel="1">
      <c r="A620" s="95"/>
      <c r="B620" s="96"/>
      <c r="C620" s="94"/>
      <c r="D620" s="42"/>
      <c r="E620" s="42"/>
      <c r="F620" s="42"/>
      <c r="G620" s="42"/>
      <c r="H620" s="42"/>
      <c r="I620" s="42"/>
      <c r="J620" s="42"/>
      <c r="K620" s="42"/>
      <c r="L620" s="42"/>
      <c r="M620" s="42"/>
      <c r="N620" s="42"/>
      <c r="O620" s="42"/>
      <c r="P620" s="42"/>
      <c r="Q620" s="42"/>
      <c r="R620" s="42"/>
      <c r="S620" s="42"/>
      <c r="T620" s="42"/>
      <c r="U620" s="42"/>
      <c r="V620" s="42"/>
      <c r="W620" s="42"/>
      <c r="X620" s="42"/>
      <c r="Y620" s="42"/>
      <c r="Z620" s="42"/>
      <c r="AA620" s="42"/>
      <c r="AB620" s="42"/>
      <c r="AC620" s="42"/>
      <c r="AD620" s="42"/>
    </row>
    <row r="621" spans="1:30" outlineLevel="1">
      <c r="A621" s="214" t="s">
        <v>354</v>
      </c>
      <c r="B621" s="214" t="s">
        <v>353</v>
      </c>
      <c r="C621" s="42"/>
      <c r="D621" s="219">
        <v>14</v>
      </c>
      <c r="E621" s="219">
        <f t="shared" ref="E621:AD621" si="256">D621</f>
        <v>14</v>
      </c>
      <c r="F621" s="219">
        <f t="shared" si="256"/>
        <v>14</v>
      </c>
      <c r="G621" s="219">
        <f t="shared" si="256"/>
        <v>14</v>
      </c>
      <c r="H621" s="219">
        <f t="shared" si="256"/>
        <v>14</v>
      </c>
      <c r="I621" s="219">
        <f t="shared" si="256"/>
        <v>14</v>
      </c>
      <c r="J621" s="219">
        <f t="shared" si="256"/>
        <v>14</v>
      </c>
      <c r="K621" s="219">
        <f t="shared" si="256"/>
        <v>14</v>
      </c>
      <c r="L621" s="219">
        <f t="shared" si="256"/>
        <v>14</v>
      </c>
      <c r="M621" s="219">
        <f t="shared" si="256"/>
        <v>14</v>
      </c>
      <c r="N621" s="219">
        <f t="shared" si="256"/>
        <v>14</v>
      </c>
      <c r="O621" s="219">
        <f t="shared" si="256"/>
        <v>14</v>
      </c>
      <c r="P621" s="219">
        <f t="shared" si="256"/>
        <v>14</v>
      </c>
      <c r="Q621" s="219">
        <f t="shared" si="256"/>
        <v>14</v>
      </c>
      <c r="R621" s="219">
        <f t="shared" si="256"/>
        <v>14</v>
      </c>
      <c r="S621" s="219">
        <f t="shared" si="256"/>
        <v>14</v>
      </c>
      <c r="T621" s="219">
        <f t="shared" si="256"/>
        <v>14</v>
      </c>
      <c r="U621" s="219">
        <f t="shared" si="256"/>
        <v>14</v>
      </c>
      <c r="V621" s="219">
        <f t="shared" si="256"/>
        <v>14</v>
      </c>
      <c r="W621" s="219">
        <f t="shared" si="256"/>
        <v>14</v>
      </c>
      <c r="X621" s="219">
        <f t="shared" si="256"/>
        <v>14</v>
      </c>
      <c r="Y621" s="219">
        <f t="shared" si="256"/>
        <v>14</v>
      </c>
      <c r="Z621" s="219">
        <f t="shared" si="256"/>
        <v>14</v>
      </c>
      <c r="AA621" s="219">
        <f t="shared" si="256"/>
        <v>14</v>
      </c>
      <c r="AB621" s="219">
        <f t="shared" si="256"/>
        <v>14</v>
      </c>
      <c r="AC621" s="219">
        <f t="shared" si="256"/>
        <v>14</v>
      </c>
      <c r="AD621" s="219">
        <f t="shared" si="256"/>
        <v>14</v>
      </c>
    </row>
    <row r="622" spans="1:30" s="45" customFormat="1" outlineLevel="1">
      <c r="A622" s="45" t="s">
        <v>355</v>
      </c>
      <c r="B622" s="45" t="s">
        <v>284</v>
      </c>
      <c r="C622" s="42">
        <f>SUM(D622:AD622)</f>
        <v>47.902279569892478</v>
      </c>
      <c r="D622" s="56">
        <f t="shared" ref="D622:AD622" si="257">D618*D621/1000</f>
        <v>0</v>
      </c>
      <c r="E622" s="56">
        <f t="shared" si="257"/>
        <v>0</v>
      </c>
      <c r="F622" s="56">
        <f t="shared" si="257"/>
        <v>1.7796861996564226</v>
      </c>
      <c r="G622" s="56">
        <f t="shared" si="257"/>
        <v>3.1768464719730223</v>
      </c>
      <c r="H622" s="56">
        <f t="shared" si="257"/>
        <v>3.3913118279569892</v>
      </c>
      <c r="I622" s="56">
        <f t="shared" si="257"/>
        <v>3.3913118279569892</v>
      </c>
      <c r="J622" s="56">
        <f t="shared" si="257"/>
        <v>3.5126540688426542</v>
      </c>
      <c r="K622" s="56">
        <f t="shared" si="257"/>
        <v>3.22458382642998</v>
      </c>
      <c r="L622" s="56">
        <f t="shared" si="257"/>
        <v>3.2050394689402131</v>
      </c>
      <c r="M622" s="56">
        <f t="shared" si="257"/>
        <v>3.2146810035842295</v>
      </c>
      <c r="N622" s="56">
        <f t="shared" si="257"/>
        <v>3.2146810035842295</v>
      </c>
      <c r="O622" s="56">
        <f t="shared" si="257"/>
        <v>3.2146810035842295</v>
      </c>
      <c r="P622" s="56">
        <f t="shared" si="257"/>
        <v>3.224792856991368</v>
      </c>
      <c r="Q622" s="56">
        <f t="shared" si="257"/>
        <v>3.1291613751564125</v>
      </c>
      <c r="R622" s="56">
        <f t="shared" si="257"/>
        <v>3.1087025089605733</v>
      </c>
      <c r="S622" s="56">
        <f t="shared" si="257"/>
        <v>3.1087025089605733</v>
      </c>
      <c r="T622" s="56">
        <f t="shared" si="257"/>
        <v>4.0054436173145849</v>
      </c>
      <c r="U622" s="56">
        <f t="shared" si="257"/>
        <v>0</v>
      </c>
      <c r="V622" s="56">
        <f t="shared" si="257"/>
        <v>0</v>
      </c>
      <c r="W622" s="56">
        <f t="shared" si="257"/>
        <v>0</v>
      </c>
      <c r="X622" s="56">
        <f t="shared" si="257"/>
        <v>0</v>
      </c>
      <c r="Y622" s="56">
        <f t="shared" si="257"/>
        <v>0</v>
      </c>
      <c r="Z622" s="56">
        <f t="shared" si="257"/>
        <v>0</v>
      </c>
      <c r="AA622" s="56">
        <f t="shared" si="257"/>
        <v>0</v>
      </c>
      <c r="AB622" s="56">
        <f t="shared" si="257"/>
        <v>0</v>
      </c>
      <c r="AC622" s="56">
        <f t="shared" si="257"/>
        <v>0</v>
      </c>
      <c r="AD622" s="56">
        <f t="shared" si="257"/>
        <v>0</v>
      </c>
    </row>
    <row r="623" spans="1:30" s="45" customFormat="1" outlineLevel="1">
      <c r="A623" s="95"/>
      <c r="B623" s="96"/>
      <c r="C623" s="295"/>
      <c r="D623" s="56"/>
      <c r="E623" s="56"/>
      <c r="F623" s="56"/>
      <c r="G623" s="56"/>
      <c r="H623" s="56"/>
      <c r="I623" s="56"/>
      <c r="J623" s="56"/>
      <c r="K623" s="56"/>
      <c r="L623" s="56"/>
      <c r="M623" s="56"/>
      <c r="N623" s="56"/>
      <c r="O623" s="56"/>
      <c r="P623" s="56"/>
      <c r="Q623" s="56"/>
      <c r="R623" s="56"/>
      <c r="S623" s="56"/>
      <c r="T623" s="56"/>
      <c r="U623" s="56"/>
      <c r="V623" s="56"/>
      <c r="W623" s="56"/>
      <c r="X623" s="56"/>
      <c r="Y623" s="56"/>
      <c r="Z623" s="56"/>
      <c r="AA623" s="56"/>
      <c r="AB623" s="56"/>
      <c r="AC623" s="56"/>
      <c r="AD623" s="56"/>
    </row>
    <row r="624" spans="1:30" s="45" customFormat="1" outlineLevel="1">
      <c r="A624" s="45" t="s">
        <v>131</v>
      </c>
      <c r="B624" s="45" t="s">
        <v>284</v>
      </c>
      <c r="C624" s="42">
        <f>SUM(D624:AD624)</f>
        <v>183.35328215336625</v>
      </c>
      <c r="D624" s="101">
        <f t="shared" ref="D624:AD624" si="258">D619+D622</f>
        <v>0</v>
      </c>
      <c r="E624" s="101">
        <f t="shared" si="258"/>
        <v>0</v>
      </c>
      <c r="F624" s="101">
        <f t="shared" si="258"/>
        <v>6.4577184958961622</v>
      </c>
      <c r="G624" s="101">
        <f t="shared" si="258"/>
        <v>11.610920019851113</v>
      </c>
      <c r="H624" s="101">
        <f t="shared" si="258"/>
        <v>12.484794742365594</v>
      </c>
      <c r="I624" s="101">
        <f t="shared" si="258"/>
        <v>12.575729571509676</v>
      </c>
      <c r="J624" s="101">
        <f t="shared" si="258"/>
        <v>13.120823660265636</v>
      </c>
      <c r="K624" s="101">
        <f t="shared" si="258"/>
        <v>12.132996421431114</v>
      </c>
      <c r="L624" s="101">
        <f t="shared" si="258"/>
        <v>12.148001930001467</v>
      </c>
      <c r="M624" s="101">
        <f t="shared" si="258"/>
        <v>12.27424471133947</v>
      </c>
      <c r="N624" s="101">
        <f t="shared" si="258"/>
        <v>12.364840348417026</v>
      </c>
      <c r="O624" s="101">
        <f t="shared" si="258"/>
        <v>12.456341941865354</v>
      </c>
      <c r="P624" s="101">
        <f t="shared" si="258"/>
        <v>12.588230961347428</v>
      </c>
      <c r="Q624" s="101">
        <f t="shared" si="258"/>
        <v>12.305783643842542</v>
      </c>
      <c r="R624" s="101">
        <f t="shared" si="258"/>
        <v>12.316493064573038</v>
      </c>
      <c r="S624" s="101">
        <f t="shared" si="258"/>
        <v>12.408570970129162</v>
      </c>
      <c r="T624" s="101">
        <f t="shared" si="258"/>
        <v>16.107791670531476</v>
      </c>
      <c r="U624" s="101">
        <f t="shared" si="258"/>
        <v>0</v>
      </c>
      <c r="V624" s="101">
        <f t="shared" si="258"/>
        <v>0</v>
      </c>
      <c r="W624" s="101">
        <f t="shared" si="258"/>
        <v>0</v>
      </c>
      <c r="X624" s="101">
        <f t="shared" si="258"/>
        <v>0</v>
      </c>
      <c r="Y624" s="101">
        <f t="shared" si="258"/>
        <v>0</v>
      </c>
      <c r="Z624" s="101">
        <f t="shared" si="258"/>
        <v>0</v>
      </c>
      <c r="AA624" s="101">
        <f t="shared" si="258"/>
        <v>0</v>
      </c>
      <c r="AB624" s="101">
        <f t="shared" si="258"/>
        <v>0</v>
      </c>
      <c r="AC624" s="101">
        <f t="shared" si="258"/>
        <v>0</v>
      </c>
      <c r="AD624" s="101">
        <f t="shared" si="258"/>
        <v>0</v>
      </c>
    </row>
    <row r="625" spans="1:30" s="45" customFormat="1" outlineLevel="1">
      <c r="A625" s="95"/>
      <c r="B625" s="96"/>
      <c r="C625" s="94"/>
      <c r="E625" s="42"/>
      <c r="F625" s="42"/>
      <c r="G625" s="42"/>
      <c r="H625" s="42"/>
      <c r="I625" s="42"/>
      <c r="J625" s="42"/>
      <c r="K625" s="42"/>
      <c r="L625" s="42"/>
      <c r="M625" s="42"/>
      <c r="N625" s="42"/>
      <c r="O625" s="42"/>
      <c r="P625" s="42"/>
      <c r="Q625" s="42"/>
      <c r="R625" s="42"/>
      <c r="S625" s="42"/>
      <c r="T625" s="42"/>
      <c r="U625" s="42"/>
      <c r="V625" s="42"/>
      <c r="W625" s="42"/>
      <c r="X625" s="42"/>
      <c r="Y625" s="42"/>
      <c r="Z625" s="42"/>
      <c r="AA625" s="42"/>
      <c r="AB625" s="42"/>
      <c r="AC625" s="42"/>
      <c r="AD625" s="42"/>
    </row>
    <row r="626" spans="1:30" s="100" customFormat="1" ht="23.4" customHeight="1" outlineLevel="1">
      <c r="A626" s="24" t="s">
        <v>357</v>
      </c>
      <c r="C626" s="85"/>
      <c r="D626" s="85"/>
      <c r="E626" s="85"/>
      <c r="F626" s="85"/>
      <c r="G626" s="85"/>
      <c r="H626" s="85"/>
      <c r="I626" s="85"/>
      <c r="J626" s="85"/>
      <c r="K626" s="85"/>
      <c r="L626" s="85"/>
      <c r="M626" s="85"/>
      <c r="N626" s="85"/>
      <c r="O626" s="85"/>
      <c r="P626" s="85"/>
      <c r="Q626" s="85"/>
      <c r="R626" s="85"/>
      <c r="S626" s="85"/>
      <c r="T626" s="85"/>
      <c r="U626" s="85"/>
      <c r="V626" s="85"/>
      <c r="W626" s="85"/>
      <c r="X626" s="85"/>
      <c r="Y626" s="85"/>
      <c r="Z626" s="85"/>
      <c r="AA626" s="85"/>
      <c r="AB626" s="85"/>
      <c r="AC626" s="85"/>
      <c r="AD626" s="85"/>
    </row>
    <row r="627" spans="1:30" s="45" customFormat="1" outlineLevel="1">
      <c r="A627" s="134" t="s">
        <v>567</v>
      </c>
      <c r="B627" s="13"/>
      <c r="C627" s="53"/>
      <c r="D627" s="44"/>
      <c r="E627" s="44"/>
      <c r="F627" s="44"/>
      <c r="G627" s="44"/>
      <c r="H627" s="44"/>
      <c r="I627" s="44"/>
      <c r="J627" s="44"/>
      <c r="K627" s="44"/>
      <c r="L627" s="44"/>
      <c r="M627" s="44"/>
      <c r="N627" s="44"/>
      <c r="O627" s="44"/>
      <c r="P627" s="44"/>
      <c r="Q627" s="44"/>
      <c r="R627" s="44"/>
      <c r="S627" s="44"/>
      <c r="T627" s="44"/>
      <c r="U627" s="44"/>
      <c r="V627" s="44"/>
      <c r="W627" s="44"/>
      <c r="X627" s="44"/>
      <c r="Y627" s="44"/>
      <c r="Z627" s="44"/>
      <c r="AA627" s="44"/>
      <c r="AB627" s="44"/>
      <c r="AC627" s="44"/>
      <c r="AD627" s="44"/>
    </row>
    <row r="628" spans="1:30" outlineLevel="1">
      <c r="A628" s="214" t="s">
        <v>128</v>
      </c>
      <c r="B628" s="214" t="s">
        <v>351</v>
      </c>
      <c r="C628" s="42"/>
      <c r="D628" s="288">
        <v>0.23</v>
      </c>
      <c r="E628" s="288">
        <f t="shared" ref="E628:AD628" si="259">D628</f>
        <v>0.23</v>
      </c>
      <c r="F628" s="288">
        <f t="shared" si="259"/>
        <v>0.23</v>
      </c>
      <c r="G628" s="288">
        <f t="shared" si="259"/>
        <v>0.23</v>
      </c>
      <c r="H628" s="288">
        <f t="shared" si="259"/>
        <v>0.23</v>
      </c>
      <c r="I628" s="288">
        <f t="shared" si="259"/>
        <v>0.23</v>
      </c>
      <c r="J628" s="288">
        <f t="shared" si="259"/>
        <v>0.23</v>
      </c>
      <c r="K628" s="288">
        <f t="shared" si="259"/>
        <v>0.23</v>
      </c>
      <c r="L628" s="288">
        <f t="shared" si="259"/>
        <v>0.23</v>
      </c>
      <c r="M628" s="288">
        <f t="shared" si="259"/>
        <v>0.23</v>
      </c>
      <c r="N628" s="288">
        <f t="shared" si="259"/>
        <v>0.23</v>
      </c>
      <c r="O628" s="288">
        <f t="shared" si="259"/>
        <v>0.23</v>
      </c>
      <c r="P628" s="288">
        <f t="shared" si="259"/>
        <v>0.23</v>
      </c>
      <c r="Q628" s="288">
        <f t="shared" si="259"/>
        <v>0.23</v>
      </c>
      <c r="R628" s="288">
        <f t="shared" si="259"/>
        <v>0.23</v>
      </c>
      <c r="S628" s="288">
        <f t="shared" si="259"/>
        <v>0.23</v>
      </c>
      <c r="T628" s="288">
        <f t="shared" si="259"/>
        <v>0.23</v>
      </c>
      <c r="U628" s="288">
        <f t="shared" si="259"/>
        <v>0.23</v>
      </c>
      <c r="V628" s="288">
        <f t="shared" si="259"/>
        <v>0.23</v>
      </c>
      <c r="W628" s="288">
        <f t="shared" si="259"/>
        <v>0.23</v>
      </c>
      <c r="X628" s="288">
        <f t="shared" si="259"/>
        <v>0.23</v>
      </c>
      <c r="Y628" s="288">
        <f t="shared" si="259"/>
        <v>0.23</v>
      </c>
      <c r="Z628" s="288">
        <f t="shared" si="259"/>
        <v>0.23</v>
      </c>
      <c r="AA628" s="288">
        <f t="shared" si="259"/>
        <v>0.23</v>
      </c>
      <c r="AB628" s="288">
        <f t="shared" si="259"/>
        <v>0.23</v>
      </c>
      <c r="AC628" s="288">
        <f t="shared" si="259"/>
        <v>0.23</v>
      </c>
      <c r="AD628" s="288">
        <f t="shared" si="259"/>
        <v>0.23</v>
      </c>
    </row>
    <row r="629" spans="1:30" s="45" customFormat="1" outlineLevel="1">
      <c r="A629" s="45" t="str">
        <f>A611</f>
        <v>real increase in transport costs</v>
      </c>
      <c r="B629" s="45" t="str">
        <f>B611</f>
        <v>factor</v>
      </c>
      <c r="C629" s="42"/>
      <c r="D629" s="57">
        <f t="shared" ref="D629:AD629" si="260">D611</f>
        <v>1</v>
      </c>
      <c r="E629" s="57">
        <f t="shared" si="260"/>
        <v>1</v>
      </c>
      <c r="F629" s="57">
        <f t="shared" si="260"/>
        <v>1</v>
      </c>
      <c r="G629" s="57">
        <f t="shared" si="260"/>
        <v>1.01</v>
      </c>
      <c r="H629" s="57">
        <f t="shared" si="260"/>
        <v>1.0201</v>
      </c>
      <c r="I629" s="57">
        <f t="shared" si="260"/>
        <v>1.0303009999999999</v>
      </c>
      <c r="J629" s="57">
        <f t="shared" si="260"/>
        <v>1.04060401</v>
      </c>
      <c r="K629" s="57">
        <f t="shared" si="260"/>
        <v>1.0510100500999999</v>
      </c>
      <c r="L629" s="57">
        <f t="shared" si="260"/>
        <v>1.0615201506009999</v>
      </c>
      <c r="M629" s="57">
        <f t="shared" si="260"/>
        <v>1.0721353521070098</v>
      </c>
      <c r="N629" s="57">
        <f t="shared" si="260"/>
        <v>1.08285670562808</v>
      </c>
      <c r="O629" s="57">
        <f t="shared" si="260"/>
        <v>1.0936852726843609</v>
      </c>
      <c r="P629" s="57">
        <f t="shared" si="260"/>
        <v>1.1046221254112045</v>
      </c>
      <c r="Q629" s="57">
        <f t="shared" si="260"/>
        <v>1.1156683466653166</v>
      </c>
      <c r="R629" s="57">
        <f t="shared" si="260"/>
        <v>1.1268250301319698</v>
      </c>
      <c r="S629" s="57">
        <f t="shared" si="260"/>
        <v>1.1380932804332895</v>
      </c>
      <c r="T629" s="57">
        <f t="shared" si="260"/>
        <v>1.1494742132376223</v>
      </c>
      <c r="U629" s="57">
        <f t="shared" si="260"/>
        <v>1.1609689553699987</v>
      </c>
      <c r="V629" s="57">
        <f t="shared" si="260"/>
        <v>1.1725786449236986</v>
      </c>
      <c r="W629" s="57">
        <f t="shared" si="260"/>
        <v>1.1843044313729356</v>
      </c>
      <c r="X629" s="57">
        <f t="shared" si="260"/>
        <v>1.196147475686665</v>
      </c>
      <c r="Y629" s="57">
        <f t="shared" si="260"/>
        <v>1.2081089504435316</v>
      </c>
      <c r="Z629" s="57">
        <f t="shared" si="260"/>
        <v>1.220190039947967</v>
      </c>
      <c r="AA629" s="57">
        <f t="shared" si="260"/>
        <v>1.2323919403474468</v>
      </c>
      <c r="AB629" s="57">
        <f t="shared" si="260"/>
        <v>1.2447158597509214</v>
      </c>
      <c r="AC629" s="57">
        <f t="shared" si="260"/>
        <v>1.2571630183484306</v>
      </c>
      <c r="AD629" s="57">
        <f t="shared" si="260"/>
        <v>1.269734648531915</v>
      </c>
    </row>
    <row r="630" spans="1:30" outlineLevel="1">
      <c r="A630" s="214" t="s">
        <v>455</v>
      </c>
      <c r="B630" s="214" t="s">
        <v>129</v>
      </c>
      <c r="C630" s="42"/>
      <c r="D630" s="219">
        <v>220</v>
      </c>
      <c r="E630" s="219">
        <f>D630</f>
        <v>220</v>
      </c>
      <c r="F630" s="219">
        <f t="shared" ref="F630:AD630" si="261">E630</f>
        <v>220</v>
      </c>
      <c r="G630" s="219">
        <f t="shared" si="261"/>
        <v>220</v>
      </c>
      <c r="H630" s="219">
        <f t="shared" si="261"/>
        <v>220</v>
      </c>
      <c r="I630" s="219">
        <f t="shared" si="261"/>
        <v>220</v>
      </c>
      <c r="J630" s="219">
        <f t="shared" si="261"/>
        <v>220</v>
      </c>
      <c r="K630" s="219">
        <f t="shared" si="261"/>
        <v>220</v>
      </c>
      <c r="L630" s="219">
        <f t="shared" si="261"/>
        <v>220</v>
      </c>
      <c r="M630" s="219">
        <f t="shared" si="261"/>
        <v>220</v>
      </c>
      <c r="N630" s="219">
        <f t="shared" si="261"/>
        <v>220</v>
      </c>
      <c r="O630" s="219">
        <f t="shared" si="261"/>
        <v>220</v>
      </c>
      <c r="P630" s="219">
        <f t="shared" si="261"/>
        <v>220</v>
      </c>
      <c r="Q630" s="219">
        <f t="shared" si="261"/>
        <v>220</v>
      </c>
      <c r="R630" s="219">
        <f t="shared" si="261"/>
        <v>220</v>
      </c>
      <c r="S630" s="219">
        <f t="shared" si="261"/>
        <v>220</v>
      </c>
      <c r="T630" s="219">
        <f t="shared" si="261"/>
        <v>220</v>
      </c>
      <c r="U630" s="219">
        <f t="shared" si="261"/>
        <v>220</v>
      </c>
      <c r="V630" s="219">
        <f t="shared" si="261"/>
        <v>220</v>
      </c>
      <c r="W630" s="219">
        <f t="shared" si="261"/>
        <v>220</v>
      </c>
      <c r="X630" s="219">
        <f t="shared" si="261"/>
        <v>220</v>
      </c>
      <c r="Y630" s="219">
        <f t="shared" si="261"/>
        <v>220</v>
      </c>
      <c r="Z630" s="219">
        <f t="shared" si="261"/>
        <v>220</v>
      </c>
      <c r="AA630" s="219">
        <f t="shared" si="261"/>
        <v>220</v>
      </c>
      <c r="AB630" s="219">
        <f t="shared" si="261"/>
        <v>220</v>
      </c>
      <c r="AC630" s="219">
        <f t="shared" si="261"/>
        <v>220</v>
      </c>
      <c r="AD630" s="219">
        <f t="shared" si="261"/>
        <v>220</v>
      </c>
    </row>
    <row r="631" spans="1:30" s="45" customFormat="1" outlineLevel="1">
      <c r="A631" s="45" t="s">
        <v>132</v>
      </c>
      <c r="B631" s="45" t="s">
        <v>353</v>
      </c>
      <c r="C631" s="42"/>
      <c r="D631" s="42">
        <f t="shared" ref="D631:AD631" si="262">D628*D629*D630</f>
        <v>50.6</v>
      </c>
      <c r="E631" s="42">
        <f t="shared" si="262"/>
        <v>50.6</v>
      </c>
      <c r="F631" s="42">
        <f t="shared" si="262"/>
        <v>50.6</v>
      </c>
      <c r="G631" s="42">
        <f t="shared" si="262"/>
        <v>51.106000000000002</v>
      </c>
      <c r="H631" s="42">
        <f t="shared" si="262"/>
        <v>51.617060000000002</v>
      </c>
      <c r="I631" s="42">
        <f t="shared" si="262"/>
        <v>52.133230599999997</v>
      </c>
      <c r="J631" s="42">
        <f t="shared" si="262"/>
        <v>52.654562906000002</v>
      </c>
      <c r="K631" s="42">
        <f t="shared" si="262"/>
        <v>53.181108535059998</v>
      </c>
      <c r="L631" s="42">
        <f t="shared" si="262"/>
        <v>53.712919620410602</v>
      </c>
      <c r="M631" s="42">
        <f t="shared" si="262"/>
        <v>54.250048816614701</v>
      </c>
      <c r="N631" s="42">
        <f t="shared" si="262"/>
        <v>54.792549304780849</v>
      </c>
      <c r="O631" s="42">
        <f t="shared" si="262"/>
        <v>55.340474797828662</v>
      </c>
      <c r="P631" s="42">
        <f t="shared" si="262"/>
        <v>55.893879545806954</v>
      </c>
      <c r="Q631" s="42">
        <f t="shared" si="262"/>
        <v>56.452818341265022</v>
      </c>
      <c r="R631" s="42">
        <f t="shared" si="262"/>
        <v>57.01734652467767</v>
      </c>
      <c r="S631" s="42">
        <f t="shared" si="262"/>
        <v>57.587519989924452</v>
      </c>
      <c r="T631" s="42">
        <f t="shared" si="262"/>
        <v>58.163395189823689</v>
      </c>
      <c r="U631" s="42">
        <f t="shared" si="262"/>
        <v>58.745029141721936</v>
      </c>
      <c r="V631" s="42">
        <f t="shared" si="262"/>
        <v>59.332479433139156</v>
      </c>
      <c r="W631" s="42">
        <f t="shared" si="262"/>
        <v>59.92580422747055</v>
      </c>
      <c r="X631" s="42">
        <f t="shared" si="262"/>
        <v>60.525062269745248</v>
      </c>
      <c r="Y631" s="42">
        <f t="shared" si="262"/>
        <v>61.130312892442703</v>
      </c>
      <c r="Z631" s="42">
        <f t="shared" si="262"/>
        <v>61.741616021367136</v>
      </c>
      <c r="AA631" s="42">
        <f t="shared" si="262"/>
        <v>62.359032181580808</v>
      </c>
      <c r="AB631" s="42">
        <f t="shared" si="262"/>
        <v>62.982622503396627</v>
      </c>
      <c r="AC631" s="42">
        <f t="shared" si="262"/>
        <v>63.612448728430586</v>
      </c>
      <c r="AD631" s="42">
        <f t="shared" si="262"/>
        <v>64.248573215714899</v>
      </c>
    </row>
    <row r="632" spans="1:30" s="45" customFormat="1" outlineLevel="1">
      <c r="A632" s="45" t="str">
        <f>A204</f>
        <v>moly concentrate sold - wet</v>
      </c>
      <c r="B632" s="45" t="str">
        <f>B204</f>
        <v>000 tonnes WET</v>
      </c>
      <c r="C632" s="42">
        <f>SUM(D632:AD632)</f>
        <v>73.818181818181813</v>
      </c>
      <c r="D632" s="42">
        <f t="shared" ref="D632:AD632" si="263">D204</f>
        <v>0</v>
      </c>
      <c r="E632" s="42">
        <f t="shared" si="263"/>
        <v>0</v>
      </c>
      <c r="F632" s="42">
        <f t="shared" si="263"/>
        <v>4.9704142011834307</v>
      </c>
      <c r="G632" s="42">
        <f t="shared" si="263"/>
        <v>9.3232920925228608</v>
      </c>
      <c r="H632" s="42">
        <f t="shared" si="263"/>
        <v>10.18181818181818</v>
      </c>
      <c r="I632" s="42">
        <f t="shared" si="263"/>
        <v>10.18181818181818</v>
      </c>
      <c r="J632" s="42">
        <f t="shared" si="263"/>
        <v>10.520710059171597</v>
      </c>
      <c r="K632" s="42">
        <f t="shared" si="263"/>
        <v>7.5723507261968788</v>
      </c>
      <c r="L632" s="42">
        <f t="shared" si="263"/>
        <v>4.4733727810650876</v>
      </c>
      <c r="M632" s="42">
        <f t="shared" si="263"/>
        <v>3.8181818181818179</v>
      </c>
      <c r="N632" s="42">
        <f t="shared" si="263"/>
        <v>3.8181818181818179</v>
      </c>
      <c r="O632" s="42">
        <f t="shared" si="263"/>
        <v>3.8181818181818179</v>
      </c>
      <c r="P632" s="42">
        <f t="shared" si="263"/>
        <v>5.13986013986014</v>
      </c>
      <c r="Q632" s="42">
        <f t="shared" si="263"/>
        <v>0</v>
      </c>
      <c r="R632" s="42">
        <f t="shared" si="263"/>
        <v>0</v>
      </c>
      <c r="S632" s="42">
        <f t="shared" si="263"/>
        <v>0</v>
      </c>
      <c r="T632" s="42">
        <f t="shared" si="263"/>
        <v>0</v>
      </c>
      <c r="U632" s="42">
        <f t="shared" si="263"/>
        <v>0</v>
      </c>
      <c r="V632" s="42">
        <f t="shared" si="263"/>
        <v>0</v>
      </c>
      <c r="W632" s="42">
        <f t="shared" si="263"/>
        <v>0</v>
      </c>
      <c r="X632" s="42">
        <f t="shared" si="263"/>
        <v>0</v>
      </c>
      <c r="Y632" s="42">
        <f t="shared" si="263"/>
        <v>0</v>
      </c>
      <c r="Z632" s="42">
        <f t="shared" si="263"/>
        <v>0</v>
      </c>
      <c r="AA632" s="42">
        <f t="shared" si="263"/>
        <v>0</v>
      </c>
      <c r="AB632" s="42">
        <f t="shared" si="263"/>
        <v>0</v>
      </c>
      <c r="AC632" s="42">
        <f t="shared" si="263"/>
        <v>0</v>
      </c>
      <c r="AD632" s="42">
        <f t="shared" si="263"/>
        <v>0</v>
      </c>
    </row>
    <row r="633" spans="1:30" s="45" customFormat="1" outlineLevel="1">
      <c r="A633" s="45" t="s">
        <v>360</v>
      </c>
      <c r="B633" s="45" t="s">
        <v>284</v>
      </c>
      <c r="C633" s="56">
        <f>SUM(D633:AD633)</f>
        <v>3.8962242113203662</v>
      </c>
      <c r="D633" s="289">
        <f t="shared" ref="D633:AD633" si="264">D631*D632/1000</f>
        <v>0</v>
      </c>
      <c r="E633" s="289">
        <f t="shared" si="264"/>
        <v>0</v>
      </c>
      <c r="F633" s="289">
        <f t="shared" si="264"/>
        <v>0.25150295857988159</v>
      </c>
      <c r="G633" s="289">
        <f t="shared" si="264"/>
        <v>0.47647616568047335</v>
      </c>
      <c r="H633" s="289">
        <f t="shared" si="264"/>
        <v>0.52555551999999994</v>
      </c>
      <c r="I633" s="289">
        <f t="shared" si="264"/>
        <v>0.53081107519999993</v>
      </c>
      <c r="J633" s="289">
        <f t="shared" si="264"/>
        <v>0.55396338962643787</v>
      </c>
      <c r="K633" s="289">
        <f t="shared" si="264"/>
        <v>0.4027060058354166</v>
      </c>
      <c r="L633" s="289">
        <f t="shared" si="264"/>
        <v>0.24027791262148168</v>
      </c>
      <c r="M633" s="289">
        <f t="shared" si="264"/>
        <v>0.20713655002707429</v>
      </c>
      <c r="N633" s="289">
        <f t="shared" si="264"/>
        <v>0.20920791552734505</v>
      </c>
      <c r="O633" s="289">
        <f t="shared" si="264"/>
        <v>0.21129999468261851</v>
      </c>
      <c r="P633" s="289">
        <f t="shared" si="264"/>
        <v>0.28728672353963713</v>
      </c>
      <c r="Q633" s="289">
        <f t="shared" si="264"/>
        <v>0</v>
      </c>
      <c r="R633" s="289">
        <f t="shared" si="264"/>
        <v>0</v>
      </c>
      <c r="S633" s="289">
        <f t="shared" si="264"/>
        <v>0</v>
      </c>
      <c r="T633" s="289">
        <f t="shared" si="264"/>
        <v>0</v>
      </c>
      <c r="U633" s="289">
        <f t="shared" si="264"/>
        <v>0</v>
      </c>
      <c r="V633" s="289">
        <f t="shared" si="264"/>
        <v>0</v>
      </c>
      <c r="W633" s="289">
        <f t="shared" si="264"/>
        <v>0</v>
      </c>
      <c r="X633" s="289">
        <f t="shared" si="264"/>
        <v>0</v>
      </c>
      <c r="Y633" s="289">
        <f t="shared" si="264"/>
        <v>0</v>
      </c>
      <c r="Z633" s="289">
        <f t="shared" si="264"/>
        <v>0</v>
      </c>
      <c r="AA633" s="289">
        <f t="shared" si="264"/>
        <v>0</v>
      </c>
      <c r="AB633" s="289">
        <f t="shared" si="264"/>
        <v>0</v>
      </c>
      <c r="AC633" s="289">
        <f t="shared" si="264"/>
        <v>0</v>
      </c>
      <c r="AD633" s="289">
        <f t="shared" si="264"/>
        <v>0</v>
      </c>
    </row>
    <row r="634" spans="1:30" s="45" customFormat="1" outlineLevel="1">
      <c r="A634" s="95"/>
      <c r="B634" s="96"/>
      <c r="C634" s="295"/>
      <c r="D634" s="42"/>
      <c r="E634" s="42"/>
      <c r="F634" s="42"/>
      <c r="G634" s="42"/>
      <c r="H634" s="42"/>
      <c r="I634" s="42"/>
      <c r="J634" s="42"/>
      <c r="K634" s="42"/>
      <c r="L634" s="42"/>
      <c r="M634" s="42"/>
      <c r="N634" s="42"/>
      <c r="O634" s="42"/>
      <c r="P634" s="42"/>
      <c r="Q634" s="42"/>
      <c r="R634" s="42"/>
      <c r="S634" s="42"/>
      <c r="T634" s="42"/>
      <c r="U634" s="42"/>
      <c r="V634" s="42"/>
      <c r="W634" s="42"/>
      <c r="X634" s="42"/>
      <c r="Y634" s="42"/>
      <c r="Z634" s="42"/>
      <c r="AA634" s="42"/>
      <c r="AB634" s="42"/>
      <c r="AC634" s="42"/>
      <c r="AD634" s="42"/>
    </row>
    <row r="635" spans="1:30" outlineLevel="1">
      <c r="A635" s="214" t="s">
        <v>456</v>
      </c>
      <c r="B635" s="214" t="s">
        <v>353</v>
      </c>
      <c r="C635" s="42"/>
      <c r="D635" s="219">
        <v>2</v>
      </c>
      <c r="E635" s="219">
        <f>D635</f>
        <v>2</v>
      </c>
      <c r="F635" s="219">
        <f t="shared" ref="F635:AD635" si="265">E635</f>
        <v>2</v>
      </c>
      <c r="G635" s="219">
        <f t="shared" si="265"/>
        <v>2</v>
      </c>
      <c r="H635" s="219">
        <f t="shared" si="265"/>
        <v>2</v>
      </c>
      <c r="I635" s="219">
        <f t="shared" si="265"/>
        <v>2</v>
      </c>
      <c r="J635" s="219">
        <f t="shared" si="265"/>
        <v>2</v>
      </c>
      <c r="K635" s="219">
        <f t="shared" si="265"/>
        <v>2</v>
      </c>
      <c r="L635" s="219">
        <f t="shared" si="265"/>
        <v>2</v>
      </c>
      <c r="M635" s="219">
        <f t="shared" si="265"/>
        <v>2</v>
      </c>
      <c r="N635" s="219">
        <f t="shared" si="265"/>
        <v>2</v>
      </c>
      <c r="O635" s="219">
        <f t="shared" si="265"/>
        <v>2</v>
      </c>
      <c r="P635" s="219">
        <f t="shared" si="265"/>
        <v>2</v>
      </c>
      <c r="Q635" s="219">
        <f t="shared" si="265"/>
        <v>2</v>
      </c>
      <c r="R635" s="219">
        <f t="shared" si="265"/>
        <v>2</v>
      </c>
      <c r="S635" s="219">
        <f t="shared" si="265"/>
        <v>2</v>
      </c>
      <c r="T635" s="219">
        <f t="shared" si="265"/>
        <v>2</v>
      </c>
      <c r="U635" s="219">
        <f t="shared" si="265"/>
        <v>2</v>
      </c>
      <c r="V635" s="219">
        <f t="shared" si="265"/>
        <v>2</v>
      </c>
      <c r="W635" s="219">
        <f t="shared" si="265"/>
        <v>2</v>
      </c>
      <c r="X635" s="219">
        <f t="shared" si="265"/>
        <v>2</v>
      </c>
      <c r="Y635" s="219">
        <f t="shared" si="265"/>
        <v>2</v>
      </c>
      <c r="Z635" s="219">
        <f t="shared" si="265"/>
        <v>2</v>
      </c>
      <c r="AA635" s="219">
        <f t="shared" si="265"/>
        <v>2</v>
      </c>
      <c r="AB635" s="219">
        <f t="shared" si="265"/>
        <v>2</v>
      </c>
      <c r="AC635" s="219">
        <f t="shared" si="265"/>
        <v>2</v>
      </c>
      <c r="AD635" s="219">
        <f t="shared" si="265"/>
        <v>2</v>
      </c>
    </row>
    <row r="636" spans="1:30" s="45" customFormat="1" outlineLevel="1">
      <c r="A636" s="45" t="s">
        <v>457</v>
      </c>
      <c r="B636" s="45" t="s">
        <v>284</v>
      </c>
      <c r="C636" s="42">
        <f>SUM(D636:AD636)</f>
        <v>0.14763636363636362</v>
      </c>
      <c r="D636" s="56">
        <f t="shared" ref="D636:AD636" si="266">D632*D635/1000</f>
        <v>0</v>
      </c>
      <c r="E636" s="56">
        <f t="shared" si="266"/>
        <v>0</v>
      </c>
      <c r="F636" s="56">
        <f t="shared" si="266"/>
        <v>9.9408284023668608E-3</v>
      </c>
      <c r="G636" s="56">
        <f t="shared" si="266"/>
        <v>1.8646584185045723E-2</v>
      </c>
      <c r="H636" s="56">
        <f t="shared" si="266"/>
        <v>2.0363636363636358E-2</v>
      </c>
      <c r="I636" s="56">
        <f t="shared" si="266"/>
        <v>2.0363636363636358E-2</v>
      </c>
      <c r="J636" s="56">
        <f t="shared" si="266"/>
        <v>2.1041420118343195E-2</v>
      </c>
      <c r="K636" s="56">
        <f t="shared" si="266"/>
        <v>1.5144701452393758E-2</v>
      </c>
      <c r="L636" s="56">
        <f t="shared" si="266"/>
        <v>8.9467455621301747E-3</v>
      </c>
      <c r="M636" s="56">
        <f t="shared" si="266"/>
        <v>7.6363636363636356E-3</v>
      </c>
      <c r="N636" s="56">
        <f t="shared" si="266"/>
        <v>7.6363636363636356E-3</v>
      </c>
      <c r="O636" s="56">
        <f t="shared" si="266"/>
        <v>7.6363636363636356E-3</v>
      </c>
      <c r="P636" s="56">
        <f t="shared" si="266"/>
        <v>1.0279720279720281E-2</v>
      </c>
      <c r="Q636" s="56">
        <f t="shared" si="266"/>
        <v>0</v>
      </c>
      <c r="R636" s="56">
        <f t="shared" si="266"/>
        <v>0</v>
      </c>
      <c r="S636" s="56">
        <f t="shared" si="266"/>
        <v>0</v>
      </c>
      <c r="T636" s="56">
        <f t="shared" si="266"/>
        <v>0</v>
      </c>
      <c r="U636" s="56">
        <f t="shared" si="266"/>
        <v>0</v>
      </c>
      <c r="V636" s="56">
        <f t="shared" si="266"/>
        <v>0</v>
      </c>
      <c r="W636" s="56">
        <f t="shared" si="266"/>
        <v>0</v>
      </c>
      <c r="X636" s="56">
        <f t="shared" si="266"/>
        <v>0</v>
      </c>
      <c r="Y636" s="56">
        <f t="shared" si="266"/>
        <v>0</v>
      </c>
      <c r="Z636" s="56">
        <f t="shared" si="266"/>
        <v>0</v>
      </c>
      <c r="AA636" s="56">
        <f t="shared" si="266"/>
        <v>0</v>
      </c>
      <c r="AB636" s="56">
        <f t="shared" si="266"/>
        <v>0</v>
      </c>
      <c r="AC636" s="56">
        <f t="shared" si="266"/>
        <v>0</v>
      </c>
      <c r="AD636" s="56">
        <f t="shared" si="266"/>
        <v>0</v>
      </c>
    </row>
    <row r="637" spans="1:30" s="45" customFormat="1" outlineLevel="1">
      <c r="A637" s="95"/>
      <c r="B637" s="96"/>
      <c r="C637" s="94"/>
      <c r="D637" s="56"/>
      <c r="E637" s="56"/>
      <c r="F637" s="56"/>
      <c r="G637" s="56"/>
      <c r="H637" s="56"/>
      <c r="I637" s="56"/>
      <c r="J637" s="56"/>
      <c r="K637" s="56"/>
      <c r="L637" s="56"/>
      <c r="M637" s="56"/>
      <c r="N637" s="56"/>
      <c r="O637" s="56"/>
      <c r="P637" s="56"/>
      <c r="Q637" s="56"/>
      <c r="R637" s="56"/>
      <c r="S637" s="56"/>
      <c r="T637" s="56"/>
      <c r="U637" s="56"/>
      <c r="V637" s="56"/>
      <c r="W637" s="56"/>
      <c r="X637" s="56"/>
      <c r="Y637" s="56"/>
      <c r="Z637" s="56"/>
      <c r="AA637" s="56"/>
      <c r="AB637" s="56"/>
      <c r="AC637" s="56"/>
      <c r="AD637" s="56"/>
    </row>
    <row r="638" spans="1:30" s="45" customFormat="1" outlineLevel="1">
      <c r="A638" s="45" t="s">
        <v>133</v>
      </c>
      <c r="B638" s="45" t="s">
        <v>284</v>
      </c>
      <c r="C638" s="42">
        <f>SUM(D638:AD638)</f>
        <v>4.0438605749567289</v>
      </c>
      <c r="D638" s="101">
        <f t="shared" ref="D638:AD638" si="267">D633+D636</f>
        <v>0</v>
      </c>
      <c r="E638" s="101">
        <f t="shared" si="267"/>
        <v>0</v>
      </c>
      <c r="F638" s="101">
        <f t="shared" si="267"/>
        <v>0.26144378698224846</v>
      </c>
      <c r="G638" s="101">
        <f t="shared" si="267"/>
        <v>0.49512274986551907</v>
      </c>
      <c r="H638" s="101">
        <f t="shared" si="267"/>
        <v>0.5459191563636363</v>
      </c>
      <c r="I638" s="101">
        <f t="shared" si="267"/>
        <v>0.55117471156363629</v>
      </c>
      <c r="J638" s="101">
        <f t="shared" si="267"/>
        <v>0.57500480974478108</v>
      </c>
      <c r="K638" s="101">
        <f t="shared" si="267"/>
        <v>0.41785070728781037</v>
      </c>
      <c r="L638" s="101">
        <f t="shared" si="267"/>
        <v>0.24922465818361186</v>
      </c>
      <c r="M638" s="101">
        <f t="shared" si="267"/>
        <v>0.21477291366343793</v>
      </c>
      <c r="N638" s="101">
        <f t="shared" si="267"/>
        <v>0.21684427916370869</v>
      </c>
      <c r="O638" s="101">
        <f t="shared" si="267"/>
        <v>0.21893635831898214</v>
      </c>
      <c r="P638" s="101">
        <f t="shared" si="267"/>
        <v>0.29756644381935743</v>
      </c>
      <c r="Q638" s="101">
        <f t="shared" si="267"/>
        <v>0</v>
      </c>
      <c r="R638" s="101">
        <f t="shared" si="267"/>
        <v>0</v>
      </c>
      <c r="S638" s="101">
        <f t="shared" si="267"/>
        <v>0</v>
      </c>
      <c r="T638" s="101">
        <f t="shared" si="267"/>
        <v>0</v>
      </c>
      <c r="U638" s="101">
        <f t="shared" si="267"/>
        <v>0</v>
      </c>
      <c r="V638" s="101">
        <f t="shared" si="267"/>
        <v>0</v>
      </c>
      <c r="W638" s="101">
        <f t="shared" si="267"/>
        <v>0</v>
      </c>
      <c r="X638" s="101">
        <f t="shared" si="267"/>
        <v>0</v>
      </c>
      <c r="Y638" s="101">
        <f t="shared" si="267"/>
        <v>0</v>
      </c>
      <c r="Z638" s="101">
        <f t="shared" si="267"/>
        <v>0</v>
      </c>
      <c r="AA638" s="101">
        <f t="shared" si="267"/>
        <v>0</v>
      </c>
      <c r="AB638" s="101">
        <f t="shared" si="267"/>
        <v>0</v>
      </c>
      <c r="AC638" s="101">
        <f t="shared" si="267"/>
        <v>0</v>
      </c>
      <c r="AD638" s="101">
        <f t="shared" si="267"/>
        <v>0</v>
      </c>
    </row>
    <row r="639" spans="1:30" s="45" customFormat="1" ht="18.649999999999999" customHeight="1" outlineLevel="1">
      <c r="A639" s="95"/>
      <c r="B639" s="96"/>
      <c r="C639" s="94"/>
      <c r="D639" s="44"/>
      <c r="E639" s="44"/>
      <c r="F639" s="44"/>
      <c r="G639" s="44"/>
      <c r="H639" s="44"/>
      <c r="I639" s="44"/>
      <c r="J639" s="44"/>
      <c r="K639" s="44"/>
      <c r="L639" s="44"/>
      <c r="M639" s="44"/>
      <c r="N639" s="44"/>
      <c r="O639" s="44"/>
      <c r="P639" s="44"/>
      <c r="Q639" s="44"/>
      <c r="R639" s="44"/>
      <c r="S639" s="44"/>
      <c r="T639" s="44"/>
      <c r="U639" s="44"/>
      <c r="V639" s="44"/>
      <c r="W639" s="44"/>
      <c r="X639" s="44"/>
      <c r="Y639" s="44"/>
      <c r="Z639" s="44"/>
      <c r="AA639" s="44"/>
      <c r="AB639" s="44"/>
      <c r="AC639" s="44"/>
      <c r="AD639" s="44"/>
    </row>
    <row r="640" spans="1:30" s="117" customFormat="1" ht="30.65" customHeight="1" outlineLevel="1">
      <c r="A640" s="127" t="s">
        <v>134</v>
      </c>
      <c r="B640" s="45" t="s">
        <v>284</v>
      </c>
      <c r="C640" s="125">
        <f>SUM(D640:AD640)</f>
        <v>187.39714272832299</v>
      </c>
      <c r="D640" s="128">
        <f t="shared" ref="D640:AD640" si="268">D624+D638</f>
        <v>0</v>
      </c>
      <c r="E640" s="128">
        <f t="shared" si="268"/>
        <v>0</v>
      </c>
      <c r="F640" s="128">
        <f t="shared" si="268"/>
        <v>6.7191622828784103</v>
      </c>
      <c r="G640" s="128">
        <f t="shared" si="268"/>
        <v>12.106042769716632</v>
      </c>
      <c r="H640" s="128">
        <f t="shared" si="268"/>
        <v>13.03071389872923</v>
      </c>
      <c r="I640" s="128">
        <f t="shared" si="268"/>
        <v>13.126904283073312</v>
      </c>
      <c r="J640" s="128">
        <f t="shared" si="268"/>
        <v>13.695828470010417</v>
      </c>
      <c r="K640" s="128">
        <f t="shared" si="268"/>
        <v>12.550847128718924</v>
      </c>
      <c r="L640" s="128">
        <f t="shared" si="268"/>
        <v>12.397226588185079</v>
      </c>
      <c r="M640" s="128">
        <f t="shared" si="268"/>
        <v>12.489017625002909</v>
      </c>
      <c r="N640" s="128">
        <f t="shared" si="268"/>
        <v>12.581684627580735</v>
      </c>
      <c r="O640" s="128">
        <f t="shared" si="268"/>
        <v>12.675278300184337</v>
      </c>
      <c r="P640" s="128">
        <f t="shared" si="268"/>
        <v>12.885797405166786</v>
      </c>
      <c r="Q640" s="128">
        <f t="shared" si="268"/>
        <v>12.305783643842542</v>
      </c>
      <c r="R640" s="128">
        <f t="shared" si="268"/>
        <v>12.316493064573038</v>
      </c>
      <c r="S640" s="128">
        <f t="shared" si="268"/>
        <v>12.408570970129162</v>
      </c>
      <c r="T640" s="128">
        <f t="shared" si="268"/>
        <v>16.107791670531476</v>
      </c>
      <c r="U640" s="128">
        <f t="shared" si="268"/>
        <v>0</v>
      </c>
      <c r="V640" s="128">
        <f t="shared" si="268"/>
        <v>0</v>
      </c>
      <c r="W640" s="128">
        <f t="shared" si="268"/>
        <v>0</v>
      </c>
      <c r="X640" s="128">
        <f t="shared" si="268"/>
        <v>0</v>
      </c>
      <c r="Y640" s="128">
        <f t="shared" si="268"/>
        <v>0</v>
      </c>
      <c r="Z640" s="128">
        <f t="shared" si="268"/>
        <v>0</v>
      </c>
      <c r="AA640" s="128">
        <f t="shared" si="268"/>
        <v>0</v>
      </c>
      <c r="AB640" s="128">
        <f t="shared" si="268"/>
        <v>0</v>
      </c>
      <c r="AC640" s="128">
        <f t="shared" si="268"/>
        <v>0</v>
      </c>
      <c r="AD640" s="128">
        <f t="shared" si="268"/>
        <v>0</v>
      </c>
    </row>
    <row r="641" spans="1:30" s="45" customFormat="1" outlineLevel="1">
      <c r="A641" s="75" t="str">
        <f>A640&amp;"/tonne milled"</f>
        <v>Product Logistics - copper &amp; moly/tonne milled</v>
      </c>
      <c r="B641" s="13" t="s">
        <v>303</v>
      </c>
      <c r="C641" s="57"/>
      <c r="D641" s="57">
        <f t="shared" ref="D641:AD641" si="269">IF(D$154=0,0,D640/D$154)</f>
        <v>0</v>
      </c>
      <c r="E641" s="57">
        <f t="shared" si="269"/>
        <v>0</v>
      </c>
      <c r="F641" s="57">
        <f t="shared" si="269"/>
        <v>1.3234713587487779</v>
      </c>
      <c r="G641" s="57">
        <f t="shared" si="269"/>
        <v>1.513255346214579</v>
      </c>
      <c r="H641" s="57">
        <f t="shared" si="269"/>
        <v>1.6288392373411538</v>
      </c>
      <c r="I641" s="57">
        <f t="shared" si="269"/>
        <v>1.640863035384164</v>
      </c>
      <c r="J641" s="57">
        <f t="shared" si="269"/>
        <v>1.6409748397247503</v>
      </c>
      <c r="K641" s="57">
        <f t="shared" si="269"/>
        <v>1.6398091725964425</v>
      </c>
      <c r="L641" s="57">
        <f t="shared" si="269"/>
        <v>1.5496533235231349</v>
      </c>
      <c r="M641" s="57">
        <f t="shared" si="269"/>
        <v>1.5611272031253636</v>
      </c>
      <c r="N641" s="57">
        <f t="shared" si="269"/>
        <v>1.5727105784475919</v>
      </c>
      <c r="O641" s="57">
        <f t="shared" si="269"/>
        <v>1.5844097875230421</v>
      </c>
      <c r="P641" s="57">
        <f t="shared" si="269"/>
        <v>1.6107246756458482</v>
      </c>
      <c r="Q641" s="57">
        <f t="shared" si="269"/>
        <v>1.5382229554803177</v>
      </c>
      <c r="R641" s="57">
        <f t="shared" si="269"/>
        <v>1.5395616330716297</v>
      </c>
      <c r="S641" s="57">
        <f t="shared" si="269"/>
        <v>1.5510713712661452</v>
      </c>
      <c r="T641" s="57">
        <f t="shared" si="269"/>
        <v>1.8051835492836998</v>
      </c>
      <c r="U641" s="57">
        <f t="shared" si="269"/>
        <v>0</v>
      </c>
      <c r="V641" s="57">
        <f t="shared" si="269"/>
        <v>0</v>
      </c>
      <c r="W641" s="57">
        <f t="shared" si="269"/>
        <v>0</v>
      </c>
      <c r="X641" s="57">
        <f t="shared" si="269"/>
        <v>0</v>
      </c>
      <c r="Y641" s="57">
        <f t="shared" si="269"/>
        <v>0</v>
      </c>
      <c r="Z641" s="57">
        <f t="shared" si="269"/>
        <v>0</v>
      </c>
      <c r="AA641" s="57">
        <f t="shared" si="269"/>
        <v>0</v>
      </c>
      <c r="AB641" s="57">
        <f t="shared" si="269"/>
        <v>0</v>
      </c>
      <c r="AC641" s="57">
        <f t="shared" si="269"/>
        <v>0</v>
      </c>
      <c r="AD641" s="57">
        <f t="shared" si="269"/>
        <v>0</v>
      </c>
    </row>
    <row r="642" spans="1:30" s="154" customFormat="1" ht="12" outlineLevel="1">
      <c r="A642" s="151" t="str">
        <f>A$98</f>
        <v>Forex: A$ = US$  - High Case</v>
      </c>
      <c r="B642" s="152" t="str">
        <f>B$98</f>
        <v>A$1.00 = US$ ....</v>
      </c>
      <c r="C642" s="153"/>
      <c r="D642" s="153">
        <f t="shared" ref="D642:AD642" si="270">D$98</f>
        <v>0.9</v>
      </c>
      <c r="E642" s="153">
        <f t="shared" si="270"/>
        <v>0.9</v>
      </c>
      <c r="F642" s="153">
        <f t="shared" si="270"/>
        <v>0.9</v>
      </c>
      <c r="G642" s="153">
        <f t="shared" si="270"/>
        <v>0.9</v>
      </c>
      <c r="H642" s="153">
        <f t="shared" si="270"/>
        <v>0.9</v>
      </c>
      <c r="I642" s="153">
        <f t="shared" si="270"/>
        <v>0.9</v>
      </c>
      <c r="J642" s="153">
        <f t="shared" si="270"/>
        <v>0.9</v>
      </c>
      <c r="K642" s="153">
        <f t="shared" si="270"/>
        <v>0.9</v>
      </c>
      <c r="L642" s="153">
        <f t="shared" si="270"/>
        <v>0.9</v>
      </c>
      <c r="M642" s="153">
        <f t="shared" si="270"/>
        <v>0.9</v>
      </c>
      <c r="N642" s="153">
        <f t="shared" si="270"/>
        <v>0.9</v>
      </c>
      <c r="O642" s="153">
        <f t="shared" si="270"/>
        <v>0.9</v>
      </c>
      <c r="P642" s="153">
        <f t="shared" si="270"/>
        <v>0.9</v>
      </c>
      <c r="Q642" s="153">
        <f t="shared" si="270"/>
        <v>0.9</v>
      </c>
      <c r="R642" s="153">
        <f t="shared" si="270"/>
        <v>0.9</v>
      </c>
      <c r="S642" s="153">
        <f t="shared" si="270"/>
        <v>0.9</v>
      </c>
      <c r="T642" s="153">
        <f t="shared" si="270"/>
        <v>0.9</v>
      </c>
      <c r="U642" s="153">
        <f t="shared" si="270"/>
        <v>0.9</v>
      </c>
      <c r="V642" s="153">
        <f t="shared" si="270"/>
        <v>0.9</v>
      </c>
      <c r="W642" s="153">
        <f t="shared" si="270"/>
        <v>0.9</v>
      </c>
      <c r="X642" s="153">
        <f t="shared" si="270"/>
        <v>0.9</v>
      </c>
      <c r="Y642" s="153">
        <f t="shared" si="270"/>
        <v>0.9</v>
      </c>
      <c r="Z642" s="153">
        <f t="shared" si="270"/>
        <v>0.9</v>
      </c>
      <c r="AA642" s="153">
        <f t="shared" si="270"/>
        <v>0.9</v>
      </c>
      <c r="AB642" s="153">
        <f t="shared" si="270"/>
        <v>0.9</v>
      </c>
      <c r="AC642" s="153">
        <f t="shared" si="270"/>
        <v>0.9</v>
      </c>
      <c r="AD642" s="153">
        <f t="shared" si="270"/>
        <v>0.9</v>
      </c>
    </row>
    <row r="643" spans="1:30" s="154" customFormat="1" ht="12" outlineLevel="1">
      <c r="A643" s="151" t="s">
        <v>383</v>
      </c>
      <c r="B643" s="152" t="s">
        <v>384</v>
      </c>
      <c r="C643" s="155">
        <f>SUM(D643:AD643)</f>
        <v>168.6574284554907</v>
      </c>
      <c r="D643" s="153">
        <f>D640*D642</f>
        <v>0</v>
      </c>
      <c r="E643" s="153">
        <f t="shared" ref="E643:AD643" si="271">E640*E642</f>
        <v>0</v>
      </c>
      <c r="F643" s="153">
        <f t="shared" si="271"/>
        <v>6.0472460545905697</v>
      </c>
      <c r="G643" s="153">
        <f t="shared" si="271"/>
        <v>10.895438492744969</v>
      </c>
      <c r="H643" s="153">
        <f t="shared" si="271"/>
        <v>11.727642508856308</v>
      </c>
      <c r="I643" s="153">
        <f t="shared" si="271"/>
        <v>11.814213854765981</v>
      </c>
      <c r="J643" s="153">
        <f t="shared" si="271"/>
        <v>12.326245623009376</v>
      </c>
      <c r="K643" s="153">
        <f t="shared" si="271"/>
        <v>11.295762415847033</v>
      </c>
      <c r="L643" s="153">
        <f t="shared" si="271"/>
        <v>11.157503929366571</v>
      </c>
      <c r="M643" s="153">
        <f t="shared" si="271"/>
        <v>11.240115862502618</v>
      </c>
      <c r="N643" s="153">
        <f t="shared" si="271"/>
        <v>11.323516164822662</v>
      </c>
      <c r="O643" s="153">
        <f t="shared" si="271"/>
        <v>11.407750470165903</v>
      </c>
      <c r="P643" s="153">
        <f t="shared" si="271"/>
        <v>11.597217664650108</v>
      </c>
      <c r="Q643" s="153">
        <f t="shared" si="271"/>
        <v>11.075205279458288</v>
      </c>
      <c r="R643" s="153">
        <f t="shared" si="271"/>
        <v>11.084843758115735</v>
      </c>
      <c r="S643" s="153">
        <f t="shared" si="271"/>
        <v>11.167713873116247</v>
      </c>
      <c r="T643" s="153">
        <f t="shared" si="271"/>
        <v>14.497012503478329</v>
      </c>
      <c r="U643" s="153">
        <f t="shared" si="271"/>
        <v>0</v>
      </c>
      <c r="V643" s="153">
        <f t="shared" si="271"/>
        <v>0</v>
      </c>
      <c r="W643" s="153">
        <f t="shared" si="271"/>
        <v>0</v>
      </c>
      <c r="X643" s="153">
        <f t="shared" si="271"/>
        <v>0</v>
      </c>
      <c r="Y643" s="153">
        <f t="shared" si="271"/>
        <v>0</v>
      </c>
      <c r="Z643" s="153">
        <f t="shared" si="271"/>
        <v>0</v>
      </c>
      <c r="AA643" s="153">
        <f t="shared" si="271"/>
        <v>0</v>
      </c>
      <c r="AB643" s="153">
        <f t="shared" si="271"/>
        <v>0</v>
      </c>
      <c r="AC643" s="153">
        <f t="shared" si="271"/>
        <v>0</v>
      </c>
      <c r="AD643" s="153">
        <f t="shared" si="271"/>
        <v>0</v>
      </c>
    </row>
    <row r="644" spans="1:30" s="45" customFormat="1" outlineLevel="1">
      <c r="A644" s="59"/>
      <c r="C644" s="53"/>
      <c r="D644" s="44"/>
      <c r="E644" s="44"/>
      <c r="F644" s="44"/>
      <c r="G644" s="44"/>
      <c r="H644" s="44"/>
      <c r="I644" s="44"/>
      <c r="J644" s="44"/>
      <c r="K644" s="44"/>
      <c r="L644" s="44"/>
      <c r="M644" s="44"/>
      <c r="N644" s="44"/>
      <c r="O644" s="44"/>
      <c r="P644" s="44"/>
      <c r="Q644" s="44"/>
      <c r="R644" s="44"/>
      <c r="S644" s="44"/>
      <c r="T644" s="44"/>
      <c r="U644" s="44"/>
      <c r="V644" s="44"/>
      <c r="W644" s="44"/>
      <c r="X644" s="44"/>
      <c r="Y644" s="44"/>
      <c r="Z644" s="44"/>
      <c r="AA644" s="44"/>
      <c r="AB644" s="44"/>
      <c r="AC644" s="44"/>
      <c r="AD644" s="44"/>
    </row>
    <row r="645" spans="1:30" s="18" customFormat="1" ht="37.25" customHeight="1">
      <c r="A645" s="124" t="str">
        <f>"Operating Costs in A$ - "&amp;A3</f>
        <v>Operating Costs in A$ - High Case</v>
      </c>
      <c r="B645" s="32" t="s">
        <v>376</v>
      </c>
      <c r="C645" s="29">
        <f>SUM(D645:AD645)</f>
        <v>7302.12714272832</v>
      </c>
      <c r="D645" s="296">
        <f t="shared" ref="D645:AD645" si="272">D460+D509+D574+D593+D603+D640</f>
        <v>3.8</v>
      </c>
      <c r="E645" s="296">
        <f t="shared" si="272"/>
        <v>141.60000000000002</v>
      </c>
      <c r="F645" s="296">
        <f t="shared" si="272"/>
        <v>278.81756228287838</v>
      </c>
      <c r="G645" s="296">
        <f t="shared" si="272"/>
        <v>322.96244276971663</v>
      </c>
      <c r="H645" s="296">
        <f t="shared" si="272"/>
        <v>414.78711389872922</v>
      </c>
      <c r="I645" s="296">
        <f t="shared" si="272"/>
        <v>418.28330428307328</v>
      </c>
      <c r="J645" s="296">
        <f t="shared" si="272"/>
        <v>538.19922847001021</v>
      </c>
      <c r="K645" s="296">
        <f t="shared" si="272"/>
        <v>533.7602471287189</v>
      </c>
      <c r="L645" s="296">
        <f t="shared" si="272"/>
        <v>542.85362658818485</v>
      </c>
      <c r="M645" s="296">
        <f t="shared" si="272"/>
        <v>547.84541762500271</v>
      </c>
      <c r="N645" s="296">
        <f t="shared" si="272"/>
        <v>552.83808462758054</v>
      </c>
      <c r="O645" s="296">
        <f t="shared" si="272"/>
        <v>557.83167830018408</v>
      </c>
      <c r="P645" s="296">
        <f t="shared" si="272"/>
        <v>562.34219740516653</v>
      </c>
      <c r="Q645" s="296">
        <f t="shared" si="272"/>
        <v>467.91218364384241</v>
      </c>
      <c r="R645" s="296">
        <f t="shared" si="272"/>
        <v>471.5728930645729</v>
      </c>
      <c r="S645" s="296">
        <f t="shared" si="272"/>
        <v>409.26497097012913</v>
      </c>
      <c r="T645" s="296">
        <f t="shared" si="272"/>
        <v>537.45619167053144</v>
      </c>
      <c r="U645" s="296">
        <f t="shared" si="272"/>
        <v>0</v>
      </c>
      <c r="V645" s="296">
        <f t="shared" si="272"/>
        <v>0</v>
      </c>
      <c r="W645" s="296">
        <f t="shared" si="272"/>
        <v>0</v>
      </c>
      <c r="X645" s="296">
        <f t="shared" si="272"/>
        <v>0</v>
      </c>
      <c r="Y645" s="296">
        <f t="shared" si="272"/>
        <v>0</v>
      </c>
      <c r="Z645" s="296">
        <f t="shared" si="272"/>
        <v>0</v>
      </c>
      <c r="AA645" s="296">
        <f t="shared" si="272"/>
        <v>0</v>
      </c>
      <c r="AB645" s="296">
        <f t="shared" si="272"/>
        <v>0</v>
      </c>
      <c r="AC645" s="296">
        <f t="shared" si="272"/>
        <v>0</v>
      </c>
      <c r="AD645" s="296">
        <f t="shared" si="272"/>
        <v>0</v>
      </c>
    </row>
    <row r="646" spans="1:30" s="45" customFormat="1" outlineLevel="1">
      <c r="A646" s="75" t="str">
        <f>A645&amp;"/tonne milled"</f>
        <v>Operating Costs in A$ - High Case/tonne milled</v>
      </c>
      <c r="B646" s="13" t="s">
        <v>303</v>
      </c>
      <c r="C646" s="42">
        <f>IF(C$154=0,0,C645/C$154)</f>
        <v>61.882433412951869</v>
      </c>
      <c r="D646" s="42">
        <f t="shared" ref="D646:AD646" si="273">IF(D$154=0,0,D645/D$154)</f>
        <v>0</v>
      </c>
      <c r="E646" s="42">
        <f t="shared" si="273"/>
        <v>0</v>
      </c>
      <c r="F646" s="42">
        <f t="shared" si="273"/>
        <v>54.918610752688167</v>
      </c>
      <c r="G646" s="42">
        <f t="shared" si="273"/>
        <v>40.370305346214579</v>
      </c>
      <c r="H646" s="42">
        <f t="shared" si="273"/>
        <v>51.848389237341152</v>
      </c>
      <c r="I646" s="42">
        <f t="shared" si="273"/>
        <v>52.28541303538416</v>
      </c>
      <c r="J646" s="42">
        <f t="shared" si="273"/>
        <v>64.484700185346838</v>
      </c>
      <c r="K646" s="42">
        <f t="shared" si="273"/>
        <v>69.737519725360258</v>
      </c>
      <c r="L646" s="42">
        <f t="shared" si="273"/>
        <v>67.856703323523107</v>
      </c>
      <c r="M646" s="42">
        <f t="shared" si="273"/>
        <v>68.480677203125339</v>
      </c>
      <c r="N646" s="42">
        <f t="shared" si="273"/>
        <v>69.104760578447568</v>
      </c>
      <c r="O646" s="42">
        <f t="shared" si="273"/>
        <v>69.72895978752301</v>
      </c>
      <c r="P646" s="42">
        <f t="shared" si="273"/>
        <v>70.292774675645816</v>
      </c>
      <c r="Q646" s="42">
        <f t="shared" si="273"/>
        <v>58.489022955480301</v>
      </c>
      <c r="R646" s="42">
        <f t="shared" si="273"/>
        <v>58.946611633071612</v>
      </c>
      <c r="S646" s="42">
        <f t="shared" si="273"/>
        <v>51.158121371266141</v>
      </c>
      <c r="T646" s="42">
        <f t="shared" si="273"/>
        <v>60.232159411352661</v>
      </c>
      <c r="U646" s="42">
        <f t="shared" si="273"/>
        <v>0</v>
      </c>
      <c r="V646" s="42">
        <f t="shared" si="273"/>
        <v>0</v>
      </c>
      <c r="W646" s="42">
        <f t="shared" si="273"/>
        <v>0</v>
      </c>
      <c r="X646" s="42">
        <f t="shared" si="273"/>
        <v>0</v>
      </c>
      <c r="Y646" s="42">
        <f t="shared" si="273"/>
        <v>0</v>
      </c>
      <c r="Z646" s="42">
        <f t="shared" si="273"/>
        <v>0</v>
      </c>
      <c r="AA646" s="42">
        <f t="shared" si="273"/>
        <v>0</v>
      </c>
      <c r="AB646" s="42">
        <f t="shared" si="273"/>
        <v>0</v>
      </c>
      <c r="AC646" s="42">
        <f t="shared" si="273"/>
        <v>0</v>
      </c>
      <c r="AD646" s="42">
        <f t="shared" si="273"/>
        <v>0</v>
      </c>
    </row>
    <row r="647" spans="1:30" s="45" customFormat="1" outlineLevel="1">
      <c r="A647" s="75"/>
      <c r="B647" s="13"/>
      <c r="C647" s="57"/>
      <c r="D647" s="57"/>
      <c r="E647" s="57"/>
      <c r="F647" s="57"/>
      <c r="G647" s="57"/>
      <c r="H647" s="57"/>
      <c r="I647" s="57"/>
      <c r="J647" s="57"/>
      <c r="K647" s="57"/>
      <c r="L647" s="57"/>
      <c r="M647" s="57"/>
      <c r="N647" s="57"/>
      <c r="O647" s="57"/>
      <c r="P647" s="57"/>
      <c r="Q647" s="57"/>
      <c r="R647" s="57"/>
      <c r="S647" s="57"/>
      <c r="T647" s="57"/>
      <c r="U647" s="57"/>
      <c r="V647" s="57"/>
      <c r="W647" s="57"/>
      <c r="X647" s="57"/>
      <c r="Y647" s="57"/>
      <c r="Z647" s="57"/>
      <c r="AA647" s="57"/>
      <c r="AB647" s="57"/>
      <c r="AC647" s="57"/>
      <c r="AD647" s="57"/>
    </row>
    <row r="648" spans="1:30" outlineLevel="1">
      <c r="A648" s="144" t="str">
        <f>A$98</f>
        <v>Forex: A$ = US$  - High Case</v>
      </c>
      <c r="B648" s="142" t="str">
        <f>B$98</f>
        <v>A$1.00 = US$ ....</v>
      </c>
      <c r="C648" s="57"/>
      <c r="D648" s="57">
        <f t="shared" ref="D648:AD648" si="274">D$98</f>
        <v>0.9</v>
      </c>
      <c r="E648" s="57">
        <f t="shared" si="274"/>
        <v>0.9</v>
      </c>
      <c r="F648" s="57">
        <f t="shared" si="274"/>
        <v>0.9</v>
      </c>
      <c r="G648" s="57">
        <f t="shared" si="274"/>
        <v>0.9</v>
      </c>
      <c r="H648" s="57">
        <f t="shared" si="274"/>
        <v>0.9</v>
      </c>
      <c r="I648" s="57">
        <f t="shared" si="274"/>
        <v>0.9</v>
      </c>
      <c r="J648" s="57">
        <f t="shared" si="274"/>
        <v>0.9</v>
      </c>
      <c r="K648" s="57">
        <f t="shared" si="274"/>
        <v>0.9</v>
      </c>
      <c r="L648" s="57">
        <f t="shared" si="274"/>
        <v>0.9</v>
      </c>
      <c r="M648" s="57">
        <f t="shared" si="274"/>
        <v>0.9</v>
      </c>
      <c r="N648" s="57">
        <f t="shared" si="274"/>
        <v>0.9</v>
      </c>
      <c r="O648" s="57">
        <f t="shared" si="274"/>
        <v>0.9</v>
      </c>
      <c r="P648" s="57">
        <f t="shared" si="274"/>
        <v>0.9</v>
      </c>
      <c r="Q648" s="57">
        <f t="shared" si="274"/>
        <v>0.9</v>
      </c>
      <c r="R648" s="57">
        <f t="shared" si="274"/>
        <v>0.9</v>
      </c>
      <c r="S648" s="57">
        <f t="shared" si="274"/>
        <v>0.9</v>
      </c>
      <c r="T648" s="57">
        <f t="shared" si="274"/>
        <v>0.9</v>
      </c>
      <c r="U648" s="57">
        <f t="shared" si="274"/>
        <v>0.9</v>
      </c>
      <c r="V648" s="57">
        <f t="shared" si="274"/>
        <v>0.9</v>
      </c>
      <c r="W648" s="57">
        <f t="shared" si="274"/>
        <v>0.9</v>
      </c>
      <c r="X648" s="57">
        <f t="shared" si="274"/>
        <v>0.9</v>
      </c>
      <c r="Y648" s="57">
        <f t="shared" si="274"/>
        <v>0.9</v>
      </c>
      <c r="Z648" s="57">
        <f t="shared" si="274"/>
        <v>0.9</v>
      </c>
      <c r="AA648" s="57">
        <f t="shared" si="274"/>
        <v>0.9</v>
      </c>
      <c r="AB648" s="57">
        <f t="shared" si="274"/>
        <v>0.9</v>
      </c>
      <c r="AC648" s="57">
        <f t="shared" si="274"/>
        <v>0.9</v>
      </c>
      <c r="AD648" s="57">
        <f t="shared" si="274"/>
        <v>0.9</v>
      </c>
    </row>
    <row r="649" spans="1:30" s="25" customFormat="1" ht="37.25" customHeight="1">
      <c r="A649" s="26" t="str">
        <f>"Cashstream 3: Operating Costs - "&amp;A3</f>
        <v>Cashstream 3: Operating Costs - High Case</v>
      </c>
      <c r="B649" s="32" t="s">
        <v>100</v>
      </c>
      <c r="C649" s="27">
        <f>SUM(D649:AD649)</f>
        <v>6571.9144284554895</v>
      </c>
      <c r="D649" s="129">
        <f t="shared" ref="D649:AD649" si="275">D645*D648</f>
        <v>3.42</v>
      </c>
      <c r="E649" s="129">
        <f t="shared" si="275"/>
        <v>127.44000000000003</v>
      </c>
      <c r="F649" s="129">
        <f t="shared" si="275"/>
        <v>250.93580605459056</v>
      </c>
      <c r="G649" s="129">
        <f t="shared" si="275"/>
        <v>290.66619849274497</v>
      </c>
      <c r="H649" s="129">
        <f t="shared" si="275"/>
        <v>373.30840250885632</v>
      </c>
      <c r="I649" s="129">
        <f t="shared" si="275"/>
        <v>376.45497385476597</v>
      </c>
      <c r="J649" s="129">
        <f t="shared" si="275"/>
        <v>484.3793056230092</v>
      </c>
      <c r="K649" s="129">
        <f t="shared" si="275"/>
        <v>480.38422241584703</v>
      </c>
      <c r="L649" s="129">
        <f t="shared" si="275"/>
        <v>488.56826392936637</v>
      </c>
      <c r="M649" s="129">
        <f t="shared" si="275"/>
        <v>493.06087586250243</v>
      </c>
      <c r="N649" s="129">
        <f t="shared" si="275"/>
        <v>497.55427616482251</v>
      </c>
      <c r="O649" s="129">
        <f t="shared" si="275"/>
        <v>502.0485104701657</v>
      </c>
      <c r="P649" s="129">
        <f t="shared" si="275"/>
        <v>506.10797766464987</v>
      </c>
      <c r="Q649" s="129">
        <f t="shared" si="275"/>
        <v>421.12096527945818</v>
      </c>
      <c r="R649" s="129">
        <f t="shared" si="275"/>
        <v>424.41560375811559</v>
      </c>
      <c r="S649" s="129">
        <f t="shared" si="275"/>
        <v>368.33847387311624</v>
      </c>
      <c r="T649" s="129">
        <f t="shared" si="275"/>
        <v>483.71057250347832</v>
      </c>
      <c r="U649" s="129">
        <f t="shared" si="275"/>
        <v>0</v>
      </c>
      <c r="V649" s="129">
        <f t="shared" si="275"/>
        <v>0</v>
      </c>
      <c r="W649" s="129">
        <f t="shared" si="275"/>
        <v>0</v>
      </c>
      <c r="X649" s="129">
        <f t="shared" si="275"/>
        <v>0</v>
      </c>
      <c r="Y649" s="129">
        <f t="shared" si="275"/>
        <v>0</v>
      </c>
      <c r="Z649" s="129">
        <f t="shared" si="275"/>
        <v>0</v>
      </c>
      <c r="AA649" s="129">
        <f t="shared" si="275"/>
        <v>0</v>
      </c>
      <c r="AB649" s="129">
        <f t="shared" si="275"/>
        <v>0</v>
      </c>
      <c r="AC649" s="129">
        <f t="shared" si="275"/>
        <v>0</v>
      </c>
      <c r="AD649" s="129">
        <f t="shared" si="275"/>
        <v>0</v>
      </c>
    </row>
    <row r="650" spans="1:30" s="45" customFormat="1" outlineLevel="1">
      <c r="A650" s="75"/>
      <c r="B650" s="13"/>
      <c r="C650" s="57"/>
      <c r="D650" s="57"/>
      <c r="E650" s="57"/>
      <c r="F650" s="57"/>
      <c r="G650" s="57"/>
      <c r="H650" s="57"/>
      <c r="I650" s="57"/>
      <c r="J650" s="57"/>
      <c r="K650" s="57"/>
      <c r="L650" s="57"/>
      <c r="M650" s="57"/>
      <c r="N650" s="57"/>
      <c r="O650" s="57"/>
      <c r="P650" s="57"/>
      <c r="Q650" s="57"/>
      <c r="R650" s="57"/>
      <c r="S650" s="57"/>
      <c r="T650" s="57"/>
      <c r="U650" s="57"/>
      <c r="V650" s="57"/>
      <c r="W650" s="57"/>
      <c r="X650" s="57"/>
      <c r="Y650" s="57"/>
      <c r="Z650" s="57"/>
      <c r="AA650" s="57"/>
      <c r="AB650" s="57"/>
      <c r="AC650" s="57"/>
      <c r="AD650" s="57"/>
    </row>
    <row r="651" spans="1:30">
      <c r="A651" s="143" t="s">
        <v>148</v>
      </c>
      <c r="B651" s="13" t="s">
        <v>100</v>
      </c>
      <c r="C651" s="42">
        <f>SUM(D651:AD651)</f>
        <v>7667.8612092260837</v>
      </c>
      <c r="D651" s="42">
        <f t="shared" ref="D651:AD651" si="276">D649+D698</f>
        <v>3.42</v>
      </c>
      <c r="E651" s="42">
        <f t="shared" si="276"/>
        <v>127.44000000000003</v>
      </c>
      <c r="F651" s="42">
        <f t="shared" si="276"/>
        <v>293.87989648114535</v>
      </c>
      <c r="G651" s="42">
        <f t="shared" si="276"/>
        <v>367.7247779059096</v>
      </c>
      <c r="H651" s="42">
        <f t="shared" si="276"/>
        <v>455.76854608834753</v>
      </c>
      <c r="I651" s="42">
        <f t="shared" si="276"/>
        <v>458.90693329963415</v>
      </c>
      <c r="J651" s="42">
        <f t="shared" si="276"/>
        <v>569.74983967428841</v>
      </c>
      <c r="K651" s="42">
        <f t="shared" si="276"/>
        <v>556.6297166933698</v>
      </c>
      <c r="L651" s="42">
        <f t="shared" si="276"/>
        <v>561.40070541722457</v>
      </c>
      <c r="M651" s="42">
        <f t="shared" si="276"/>
        <v>565.4987075800276</v>
      </c>
      <c r="N651" s="42">
        <f t="shared" si="276"/>
        <v>569.98395427501066</v>
      </c>
      <c r="O651" s="42">
        <f t="shared" si="276"/>
        <v>574.46995343694357</v>
      </c>
      <c r="P651" s="42">
        <f t="shared" si="276"/>
        <v>579.95832587294706</v>
      </c>
      <c r="Q651" s="42">
        <f t="shared" si="276"/>
        <v>488.03063652617004</v>
      </c>
      <c r="R651" s="42">
        <f t="shared" si="276"/>
        <v>490.87960586416909</v>
      </c>
      <c r="S651" s="42">
        <f t="shared" si="276"/>
        <v>434.7941889676697</v>
      </c>
      <c r="T651" s="42">
        <f t="shared" si="276"/>
        <v>569.32542114322587</v>
      </c>
      <c r="U651" s="42">
        <f t="shared" si="276"/>
        <v>0</v>
      </c>
      <c r="V651" s="42">
        <f t="shared" si="276"/>
        <v>0</v>
      </c>
      <c r="W651" s="42">
        <f t="shared" si="276"/>
        <v>0</v>
      </c>
      <c r="X651" s="42">
        <f t="shared" si="276"/>
        <v>0</v>
      </c>
      <c r="Y651" s="42">
        <f t="shared" si="276"/>
        <v>0</v>
      </c>
      <c r="Z651" s="42">
        <f t="shared" si="276"/>
        <v>0</v>
      </c>
      <c r="AA651" s="42">
        <f t="shared" si="276"/>
        <v>0</v>
      </c>
      <c r="AB651" s="42">
        <f t="shared" si="276"/>
        <v>0</v>
      </c>
      <c r="AC651" s="42">
        <f t="shared" si="276"/>
        <v>0</v>
      </c>
      <c r="AD651" s="42">
        <f t="shared" si="276"/>
        <v>0</v>
      </c>
    </row>
    <row r="652" spans="1:30">
      <c r="A652" s="143" t="str">
        <f>A318</f>
        <v>Minor metal credits</v>
      </c>
      <c r="B652" s="69" t="str">
        <f>B318</f>
        <v>US$ millions Real</v>
      </c>
      <c r="C652" s="42">
        <f>SUM(D652:AD652)</f>
        <v>2732.2160613174842</v>
      </c>
      <c r="D652" s="42">
        <f t="shared" ref="D652:AD652" si="277">D318</f>
        <v>0</v>
      </c>
      <c r="E652" s="42">
        <f t="shared" si="277"/>
        <v>0</v>
      </c>
      <c r="F652" s="42">
        <f t="shared" si="277"/>
        <v>145.8373374447751</v>
      </c>
      <c r="G652" s="42">
        <f t="shared" si="277"/>
        <v>268.49480527729168</v>
      </c>
      <c r="H652" s="42">
        <f t="shared" si="277"/>
        <v>290.77116295720356</v>
      </c>
      <c r="I652" s="42">
        <f t="shared" si="277"/>
        <v>290.77116295720356</v>
      </c>
      <c r="J652" s="42">
        <f t="shared" si="277"/>
        <v>300.71461778298368</v>
      </c>
      <c r="K652" s="42">
        <f t="shared" si="277"/>
        <v>232.80593684000644</v>
      </c>
      <c r="L652" s="42">
        <f t="shared" si="277"/>
        <v>172.30951007184683</v>
      </c>
      <c r="M652" s="42">
        <f t="shared" si="277"/>
        <v>160.71516863151123</v>
      </c>
      <c r="N652" s="42">
        <f t="shared" si="277"/>
        <v>160.71516863151123</v>
      </c>
      <c r="O652" s="42">
        <f t="shared" si="277"/>
        <v>160.71516863151123</v>
      </c>
      <c r="P652" s="42">
        <f t="shared" si="277"/>
        <v>185.40961343541542</v>
      </c>
      <c r="Q652" s="42">
        <f t="shared" si="277"/>
        <v>85.062037397258322</v>
      </c>
      <c r="R652" s="42">
        <f t="shared" si="277"/>
        <v>84.505890675241162</v>
      </c>
      <c r="S652" s="42">
        <f t="shared" si="277"/>
        <v>84.505890675241162</v>
      </c>
      <c r="T652" s="42">
        <f t="shared" si="277"/>
        <v>108.88258990848384</v>
      </c>
      <c r="U652" s="42">
        <f t="shared" si="277"/>
        <v>0</v>
      </c>
      <c r="V652" s="42">
        <f t="shared" si="277"/>
        <v>0</v>
      </c>
      <c r="W652" s="42">
        <f t="shared" si="277"/>
        <v>0</v>
      </c>
      <c r="X652" s="42">
        <f t="shared" si="277"/>
        <v>0</v>
      </c>
      <c r="Y652" s="42">
        <f t="shared" si="277"/>
        <v>0</v>
      </c>
      <c r="Z652" s="42">
        <f t="shared" si="277"/>
        <v>0</v>
      </c>
      <c r="AA652" s="42">
        <f t="shared" si="277"/>
        <v>0</v>
      </c>
      <c r="AB652" s="42">
        <f t="shared" si="277"/>
        <v>0</v>
      </c>
      <c r="AC652" s="42">
        <f t="shared" si="277"/>
        <v>0</v>
      </c>
      <c r="AD652" s="42">
        <f t="shared" si="277"/>
        <v>0</v>
      </c>
    </row>
    <row r="653" spans="1:30">
      <c r="A653" s="143" t="s">
        <v>627</v>
      </c>
      <c r="B653" s="13" t="s">
        <v>82</v>
      </c>
      <c r="C653" s="42">
        <f>SUM(D653:AD653)</f>
        <v>4935.6451479085981</v>
      </c>
      <c r="D653" s="70">
        <f t="shared" ref="D653:AD653" si="278">D651-D652</f>
        <v>3.42</v>
      </c>
      <c r="E653" s="70">
        <f t="shared" si="278"/>
        <v>127.44000000000003</v>
      </c>
      <c r="F653" s="70">
        <f t="shared" si="278"/>
        <v>148.04255903637025</v>
      </c>
      <c r="G653" s="70">
        <f t="shared" si="278"/>
        <v>99.229972628617929</v>
      </c>
      <c r="H653" s="70">
        <f t="shared" si="278"/>
        <v>164.99738313114398</v>
      </c>
      <c r="I653" s="70">
        <f t="shared" si="278"/>
        <v>168.13577034243059</v>
      </c>
      <c r="J653" s="70">
        <f t="shared" si="278"/>
        <v>269.03522189130473</v>
      </c>
      <c r="K653" s="70">
        <f t="shared" si="278"/>
        <v>323.82377985336336</v>
      </c>
      <c r="L653" s="70">
        <f t="shared" si="278"/>
        <v>389.09119534537774</v>
      </c>
      <c r="M653" s="70">
        <f t="shared" si="278"/>
        <v>404.78353894851637</v>
      </c>
      <c r="N653" s="70">
        <f t="shared" si="278"/>
        <v>409.26878564349943</v>
      </c>
      <c r="O653" s="70">
        <f t="shared" si="278"/>
        <v>413.75478480543234</v>
      </c>
      <c r="P653" s="70">
        <f t="shared" si="278"/>
        <v>394.54871243753166</v>
      </c>
      <c r="Q653" s="70">
        <f t="shared" si="278"/>
        <v>402.96859912891171</v>
      </c>
      <c r="R653" s="70">
        <f t="shared" si="278"/>
        <v>406.37371518892792</v>
      </c>
      <c r="S653" s="70">
        <f t="shared" si="278"/>
        <v>350.28829829242852</v>
      </c>
      <c r="T653" s="70">
        <f t="shared" si="278"/>
        <v>460.44283123474202</v>
      </c>
      <c r="U653" s="70">
        <f t="shared" si="278"/>
        <v>0</v>
      </c>
      <c r="V653" s="70">
        <f t="shared" si="278"/>
        <v>0</v>
      </c>
      <c r="W653" s="70">
        <f t="shared" si="278"/>
        <v>0</v>
      </c>
      <c r="X653" s="70">
        <f t="shared" si="278"/>
        <v>0</v>
      </c>
      <c r="Y653" s="70">
        <f t="shared" si="278"/>
        <v>0</v>
      </c>
      <c r="Z653" s="70">
        <f t="shared" si="278"/>
        <v>0</v>
      </c>
      <c r="AA653" s="70">
        <f t="shared" si="278"/>
        <v>0</v>
      </c>
      <c r="AB653" s="70">
        <f t="shared" si="278"/>
        <v>0</v>
      </c>
      <c r="AC653" s="70">
        <f t="shared" si="278"/>
        <v>0</v>
      </c>
      <c r="AD653" s="70">
        <f t="shared" si="278"/>
        <v>0</v>
      </c>
    </row>
    <row r="654" spans="1:30" ht="13.5" thickBot="1">
      <c r="A654" s="143" t="str">
        <f>A170</f>
        <v>copper conc - contained copper - High Case</v>
      </c>
      <c r="B654" s="69" t="str">
        <f>B170</f>
        <v>000 tonnes Cu</v>
      </c>
      <c r="C654" s="42">
        <f>SUM(D654:AD654)</f>
        <v>954.6239999999998</v>
      </c>
      <c r="D654" s="42">
        <f t="shared" ref="D654:AD654" si="279">D170</f>
        <v>0</v>
      </c>
      <c r="E654" s="42">
        <f t="shared" si="279"/>
        <v>0</v>
      </c>
      <c r="F654" s="42">
        <f t="shared" si="279"/>
        <v>42.889846153846143</v>
      </c>
      <c r="G654" s="42">
        <f t="shared" si="279"/>
        <v>67.583999999999989</v>
      </c>
      <c r="H654" s="42">
        <f t="shared" si="279"/>
        <v>67.583999999999989</v>
      </c>
      <c r="I654" s="42">
        <f t="shared" si="279"/>
        <v>67.583999999999989</v>
      </c>
      <c r="J654" s="42">
        <f t="shared" si="279"/>
        <v>70.508307692307682</v>
      </c>
      <c r="K654" s="42">
        <f t="shared" si="279"/>
        <v>62.95384615384615</v>
      </c>
      <c r="L654" s="42">
        <f t="shared" si="279"/>
        <v>64.064000000000007</v>
      </c>
      <c r="M654" s="42">
        <f t="shared" si="279"/>
        <v>64.064000000000007</v>
      </c>
      <c r="N654" s="42">
        <f t="shared" si="279"/>
        <v>64.064000000000007</v>
      </c>
      <c r="O654" s="42">
        <f t="shared" si="279"/>
        <v>64.064000000000007</v>
      </c>
      <c r="P654" s="42">
        <f t="shared" si="279"/>
        <v>64.307692307692292</v>
      </c>
      <c r="Q654" s="42">
        <f t="shared" si="279"/>
        <v>61.951999999999998</v>
      </c>
      <c r="R654" s="42">
        <f t="shared" si="279"/>
        <v>61.951999999999998</v>
      </c>
      <c r="S654" s="42">
        <f t="shared" si="279"/>
        <v>61.951999999999998</v>
      </c>
      <c r="T654" s="42">
        <f t="shared" si="279"/>
        <v>69.100307692307695</v>
      </c>
      <c r="U654" s="42">
        <f t="shared" si="279"/>
        <v>0</v>
      </c>
      <c r="V654" s="42">
        <f t="shared" si="279"/>
        <v>0</v>
      </c>
      <c r="W654" s="42">
        <f t="shared" si="279"/>
        <v>0</v>
      </c>
      <c r="X654" s="42">
        <f t="shared" si="279"/>
        <v>0</v>
      </c>
      <c r="Y654" s="42">
        <f t="shared" si="279"/>
        <v>0</v>
      </c>
      <c r="Z654" s="42">
        <f t="shared" si="279"/>
        <v>0</v>
      </c>
      <c r="AA654" s="42">
        <f t="shared" si="279"/>
        <v>0</v>
      </c>
      <c r="AB654" s="42">
        <f t="shared" si="279"/>
        <v>0</v>
      </c>
      <c r="AC654" s="42">
        <f t="shared" si="279"/>
        <v>0</v>
      </c>
      <c r="AD654" s="42">
        <f t="shared" si="279"/>
        <v>0</v>
      </c>
    </row>
    <row r="655" spans="1:30" s="14" customFormat="1" ht="13.5" thickBot="1">
      <c r="A655" s="159" t="str">
        <f>A653</f>
        <v>Opex plus Royalty less Credits - High Case</v>
      </c>
      <c r="B655" s="14" t="s">
        <v>93</v>
      </c>
      <c r="C655" s="158">
        <f t="shared" ref="C655:AD655" si="280">IF(C170=0,0,C653/C170/2.2046)</f>
        <v>2.345210211143876</v>
      </c>
      <c r="D655" s="87">
        <f t="shared" si="280"/>
        <v>0</v>
      </c>
      <c r="E655" s="87">
        <f t="shared" si="280"/>
        <v>0</v>
      </c>
      <c r="F655" s="87">
        <f t="shared" si="280"/>
        <v>1.5656774338407868</v>
      </c>
      <c r="G655" s="87">
        <f t="shared" si="280"/>
        <v>0.66599225136102957</v>
      </c>
      <c r="H655" s="87">
        <f t="shared" si="280"/>
        <v>1.107397046973462</v>
      </c>
      <c r="I655" s="87">
        <f t="shared" si="280"/>
        <v>1.128460658190106</v>
      </c>
      <c r="J655" s="87">
        <f t="shared" si="280"/>
        <v>1.7307687576644273</v>
      </c>
      <c r="K655" s="87">
        <f t="shared" si="280"/>
        <v>2.3332252427219204</v>
      </c>
      <c r="L655" s="87">
        <f t="shared" si="280"/>
        <v>2.7549108458771228</v>
      </c>
      <c r="M655" s="87">
        <f t="shared" si="280"/>
        <v>2.8660184939212865</v>
      </c>
      <c r="N655" s="87">
        <f t="shared" si="280"/>
        <v>2.8977757141160922</v>
      </c>
      <c r="O655" s="87">
        <f t="shared" si="280"/>
        <v>2.9295382620576733</v>
      </c>
      <c r="P655" s="87">
        <f t="shared" si="280"/>
        <v>2.7829660110894228</v>
      </c>
      <c r="Q655" s="87">
        <f t="shared" si="280"/>
        <v>2.9504351351518787</v>
      </c>
      <c r="R655" s="87">
        <f t="shared" si="280"/>
        <v>2.9753665419276403</v>
      </c>
      <c r="S655" s="87">
        <f t="shared" si="280"/>
        <v>2.564723169370128</v>
      </c>
      <c r="T655" s="87">
        <f t="shared" si="280"/>
        <v>3.0224973684055105</v>
      </c>
      <c r="U655" s="87">
        <f t="shared" si="280"/>
        <v>0</v>
      </c>
      <c r="V655" s="87">
        <f t="shared" si="280"/>
        <v>0</v>
      </c>
      <c r="W655" s="87">
        <f t="shared" si="280"/>
        <v>0</v>
      </c>
      <c r="X655" s="87">
        <f t="shared" si="280"/>
        <v>0</v>
      </c>
      <c r="Y655" s="87">
        <f t="shared" si="280"/>
        <v>0</v>
      </c>
      <c r="Z655" s="87">
        <f t="shared" si="280"/>
        <v>0</v>
      </c>
      <c r="AA655" s="87">
        <f t="shared" si="280"/>
        <v>0</v>
      </c>
      <c r="AB655" s="87">
        <f t="shared" si="280"/>
        <v>0</v>
      </c>
      <c r="AC655" s="87">
        <f t="shared" si="280"/>
        <v>0</v>
      </c>
      <c r="AD655" s="87">
        <f t="shared" si="280"/>
        <v>0</v>
      </c>
    </row>
    <row r="656" spans="1:30">
      <c r="A656" s="69"/>
      <c r="C656" s="42"/>
      <c r="D656" s="42"/>
      <c r="E656" s="42"/>
      <c r="F656" s="42"/>
      <c r="G656" s="42"/>
      <c r="H656" s="42"/>
      <c r="I656" s="42"/>
      <c r="J656" s="42"/>
      <c r="K656" s="42"/>
      <c r="L656" s="42"/>
      <c r="M656" s="42"/>
      <c r="N656" s="42"/>
      <c r="O656" s="42"/>
      <c r="P656" s="42"/>
      <c r="Q656" s="42"/>
      <c r="R656" s="42"/>
      <c r="S656" s="42"/>
      <c r="T656" s="42"/>
      <c r="U656" s="42"/>
      <c r="V656" s="42"/>
      <c r="W656" s="42"/>
      <c r="X656" s="42"/>
      <c r="Y656" s="42"/>
      <c r="Z656" s="42"/>
      <c r="AA656" s="42"/>
      <c r="AB656" s="42"/>
      <c r="AC656" s="42"/>
      <c r="AD656" s="42"/>
    </row>
    <row r="657" spans="1:30" s="8" customFormat="1" ht="15.5">
      <c r="A657" s="242" t="str">
        <f>'Expected NPV &amp; Common Data'!A$36</f>
        <v>Calendar Year --&gt;</v>
      </c>
      <c r="B657" s="243" t="str">
        <f>'Expected NPV &amp; Common Data'!B$36</f>
        <v>units</v>
      </c>
      <c r="C657" s="244" t="str">
        <f>'Expected NPV &amp; Common Data'!C$36</f>
        <v>Total</v>
      </c>
      <c r="D657" s="245">
        <f>'Expected NPV &amp; Common Data'!D$36</f>
        <v>2027</v>
      </c>
      <c r="E657" s="245">
        <f>'Expected NPV &amp; Common Data'!E$36</f>
        <v>2028</v>
      </c>
      <c r="F657" s="245">
        <f>'Expected NPV &amp; Common Data'!F$36</f>
        <v>2029</v>
      </c>
      <c r="G657" s="245">
        <f>'Expected NPV &amp; Common Data'!G$36</f>
        <v>2030</v>
      </c>
      <c r="H657" s="245">
        <f>'Expected NPV &amp; Common Data'!H$36</f>
        <v>2031</v>
      </c>
      <c r="I657" s="245">
        <f>'Expected NPV &amp; Common Data'!I$36</f>
        <v>2032</v>
      </c>
      <c r="J657" s="245">
        <f>'Expected NPV &amp; Common Data'!J$36</f>
        <v>2033</v>
      </c>
      <c r="K657" s="245">
        <f>'Expected NPV &amp; Common Data'!K$36</f>
        <v>2034</v>
      </c>
      <c r="L657" s="245">
        <f>'Expected NPV &amp; Common Data'!L$36</f>
        <v>2035</v>
      </c>
      <c r="M657" s="245">
        <f>'Expected NPV &amp; Common Data'!M$36</f>
        <v>2036</v>
      </c>
      <c r="N657" s="245">
        <f>'Expected NPV &amp; Common Data'!N$36</f>
        <v>2037</v>
      </c>
      <c r="O657" s="245">
        <f>'Expected NPV &amp; Common Data'!O$36</f>
        <v>2038</v>
      </c>
      <c r="P657" s="245">
        <f>'Expected NPV &amp; Common Data'!P$36</f>
        <v>2039</v>
      </c>
      <c r="Q657" s="245">
        <f>'Expected NPV &amp; Common Data'!Q$36</f>
        <v>2040</v>
      </c>
      <c r="R657" s="245">
        <f>'Expected NPV &amp; Common Data'!R$36</f>
        <v>2041</v>
      </c>
      <c r="S657" s="245">
        <f>'Expected NPV &amp; Common Data'!S$36</f>
        <v>2042</v>
      </c>
      <c r="T657" s="245">
        <f>'Expected NPV &amp; Common Data'!T$36</f>
        <v>2043</v>
      </c>
      <c r="U657" s="245">
        <f>'Expected NPV &amp; Common Data'!U$36</f>
        <v>2044</v>
      </c>
      <c r="V657" s="245">
        <f>'Expected NPV &amp; Common Data'!V$36</f>
        <v>2045</v>
      </c>
      <c r="W657" s="245">
        <f>'Expected NPV &amp; Common Data'!W$36</f>
        <v>2046</v>
      </c>
      <c r="X657" s="245">
        <f>'Expected NPV &amp; Common Data'!X$36</f>
        <v>2047</v>
      </c>
      <c r="Y657" s="245">
        <f>'Expected NPV &amp; Common Data'!Y$36</f>
        <v>2048</v>
      </c>
      <c r="Z657" s="245">
        <f>'Expected NPV &amp; Common Data'!Z$36</f>
        <v>2049</v>
      </c>
      <c r="AA657" s="245">
        <f>'Expected NPV &amp; Common Data'!AA$36</f>
        <v>2050</v>
      </c>
      <c r="AB657" s="245">
        <f>'Expected NPV &amp; Common Data'!AB$36</f>
        <v>2051</v>
      </c>
      <c r="AC657" s="245">
        <f>'Expected NPV &amp; Common Data'!AC$36</f>
        <v>2052</v>
      </c>
      <c r="AD657" s="245">
        <f>'Expected NPV &amp; Common Data'!AD$36</f>
        <v>2053</v>
      </c>
    </row>
    <row r="658" spans="1:30" s="32" customFormat="1" ht="53.25" customHeight="1">
      <c r="A658" s="21" t="s">
        <v>15</v>
      </c>
      <c r="B658" s="297"/>
      <c r="C658" s="298"/>
      <c r="D658" s="299"/>
      <c r="F658" s="33"/>
      <c r="G658" s="33"/>
      <c r="H658" s="33"/>
      <c r="I658" s="33"/>
      <c r="J658" s="33"/>
      <c r="K658" s="33"/>
      <c r="L658" s="33"/>
      <c r="M658" s="33"/>
      <c r="N658" s="33"/>
      <c r="O658" s="33"/>
      <c r="P658" s="33"/>
      <c r="Q658" s="33"/>
      <c r="R658" s="33"/>
      <c r="S658" s="33"/>
      <c r="T658" s="33"/>
      <c r="U658" s="33"/>
      <c r="V658" s="33"/>
      <c r="W658" s="33"/>
      <c r="X658" s="33"/>
      <c r="Y658" s="33"/>
      <c r="Z658" s="33"/>
      <c r="AA658" s="33"/>
      <c r="AB658" s="33"/>
      <c r="AC658" s="33"/>
      <c r="AD658" s="33"/>
    </row>
    <row r="659" spans="1:30" s="65" customFormat="1" outlineLevel="1">
      <c r="A659" s="282" t="s">
        <v>590</v>
      </c>
      <c r="B659" s="52"/>
      <c r="C659" s="54"/>
      <c r="D659" s="54"/>
      <c r="E659" s="54"/>
      <c r="F659" s="54"/>
      <c r="G659" s="54"/>
      <c r="H659" s="54"/>
      <c r="I659" s="54"/>
      <c r="J659" s="54"/>
      <c r="K659" s="54"/>
      <c r="L659" s="54"/>
      <c r="M659" s="54"/>
      <c r="N659" s="54"/>
      <c r="O659" s="54"/>
      <c r="P659" s="54"/>
      <c r="Q659" s="54"/>
      <c r="R659" s="54"/>
      <c r="S659" s="54"/>
      <c r="T659" s="54"/>
      <c r="U659" s="54"/>
      <c r="V659" s="54"/>
      <c r="W659" s="54"/>
      <c r="X659" s="54"/>
      <c r="Y659" s="54"/>
      <c r="Z659" s="54"/>
      <c r="AA659" s="54"/>
      <c r="AB659" s="54"/>
      <c r="AC659" s="54"/>
      <c r="AD659" s="54"/>
    </row>
    <row r="660" spans="1:30" ht="54" customHeight="1">
      <c r="A660" s="23" t="s">
        <v>399</v>
      </c>
      <c r="D660" s="15"/>
      <c r="F660" s="15"/>
      <c r="G660" s="15"/>
      <c r="H660" s="15"/>
      <c r="I660" s="15"/>
      <c r="J660" s="15"/>
      <c r="K660" s="15"/>
      <c r="L660" s="15"/>
      <c r="M660" s="15"/>
      <c r="N660" s="15"/>
      <c r="O660" s="15"/>
      <c r="P660" s="15"/>
      <c r="Q660" s="15"/>
      <c r="R660" s="15"/>
      <c r="S660" s="15"/>
      <c r="T660" s="15"/>
      <c r="U660" s="15"/>
      <c r="V660" s="15"/>
      <c r="W660" s="15"/>
      <c r="X660" s="15"/>
      <c r="Y660" s="15"/>
      <c r="Z660" s="15"/>
      <c r="AA660" s="15"/>
      <c r="AB660" s="15"/>
      <c r="AC660" s="15"/>
      <c r="AD660" s="15"/>
    </row>
    <row r="661" spans="1:30" customFormat="1" ht="15.5" outlineLevel="1">
      <c r="A661" s="1" t="s">
        <v>160</v>
      </c>
      <c r="C661" s="3"/>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row>
    <row r="662" spans="1:30" s="45" customFormat="1" outlineLevel="1">
      <c r="A662" s="305" t="str">
        <f>'Expected NPV &amp; Common Data'!A75</f>
        <v>2025 10 31 State Royalty website: Royalties are designed to encourage copper concentrate to be processed into metal locally.  Royalties for copper concentrates depend on metal prices on LME in Real terms and are levied at point of sale after product logistics.</v>
      </c>
      <c r="C662" s="42"/>
      <c r="D662" s="42"/>
      <c r="E662" s="42"/>
      <c r="F662" s="42"/>
      <c r="G662" s="42"/>
      <c r="H662" s="42"/>
      <c r="I662" s="42"/>
      <c r="J662" s="42"/>
      <c r="K662" s="42"/>
      <c r="L662" s="42"/>
      <c r="M662" s="42"/>
      <c r="N662" s="42"/>
      <c r="O662" s="42"/>
      <c r="P662" s="42"/>
      <c r="Q662" s="42"/>
      <c r="R662" s="42"/>
      <c r="S662" s="42"/>
      <c r="T662" s="42"/>
      <c r="U662" s="42"/>
      <c r="V662" s="42"/>
      <c r="W662" s="42"/>
      <c r="X662" s="42"/>
      <c r="Y662" s="42"/>
      <c r="Z662" s="42"/>
      <c r="AA662" s="42"/>
      <c r="AB662" s="42"/>
      <c r="AC662" s="42"/>
      <c r="AD662" s="42"/>
    </row>
    <row r="663" spans="1:30" s="45" customFormat="1" outlineLevel="1">
      <c r="A663" s="45" t="str">
        <f>A323</f>
        <v>copper revenue after TC/RC in A$</v>
      </c>
      <c r="B663" s="45" t="str">
        <f>B323</f>
        <v>A$ million Real</v>
      </c>
      <c r="C663" s="42">
        <f t="shared" ref="C663:C665" si="281">SUM(D663:AD663)</f>
        <v>10845.80710626612</v>
      </c>
      <c r="D663" s="42">
        <f t="shared" ref="D663:AD663" si="282">D323</f>
        <v>0</v>
      </c>
      <c r="E663" s="42">
        <f t="shared" si="282"/>
        <v>0</v>
      </c>
      <c r="F663" s="42">
        <f t="shared" si="282"/>
        <v>402.94811446278533</v>
      </c>
      <c r="G663" s="42">
        <f t="shared" si="282"/>
        <v>719.28652144766409</v>
      </c>
      <c r="H663" s="42">
        <f t="shared" si="282"/>
        <v>767.84475088609713</v>
      </c>
      <c r="I663" s="42">
        <f t="shared" si="282"/>
        <v>767.84475088609713</v>
      </c>
      <c r="J663" s="42">
        <f t="shared" si="282"/>
        <v>795.3184859631051</v>
      </c>
      <c r="K663" s="42">
        <f t="shared" si="282"/>
        <v>730.09498699152596</v>
      </c>
      <c r="L663" s="42">
        <f t="shared" si="282"/>
        <v>725.66984619962193</v>
      </c>
      <c r="M663" s="42">
        <f t="shared" si="282"/>
        <v>727.85283677744621</v>
      </c>
      <c r="N663" s="42">
        <f t="shared" si="282"/>
        <v>727.85283677744621</v>
      </c>
      <c r="O663" s="42">
        <f t="shared" si="282"/>
        <v>727.85283677744621</v>
      </c>
      <c r="P663" s="42">
        <f t="shared" si="282"/>
        <v>730.14231470053016</v>
      </c>
      <c r="Q663" s="42">
        <f t="shared" si="282"/>
        <v>708.48988783105358</v>
      </c>
      <c r="R663" s="42">
        <f t="shared" si="282"/>
        <v>703.85768831225562</v>
      </c>
      <c r="S663" s="42">
        <f t="shared" si="282"/>
        <v>703.85768831225562</v>
      </c>
      <c r="T663" s="42">
        <f t="shared" si="282"/>
        <v>906.89355994079096</v>
      </c>
      <c r="U663" s="42">
        <f t="shared" si="282"/>
        <v>0</v>
      </c>
      <c r="V663" s="42">
        <f t="shared" si="282"/>
        <v>0</v>
      </c>
      <c r="W663" s="42">
        <f t="shared" si="282"/>
        <v>0</v>
      </c>
      <c r="X663" s="42">
        <f t="shared" si="282"/>
        <v>0</v>
      </c>
      <c r="Y663" s="42">
        <f t="shared" si="282"/>
        <v>0</v>
      </c>
      <c r="Z663" s="42">
        <f t="shared" si="282"/>
        <v>0</v>
      </c>
      <c r="AA663" s="42">
        <f t="shared" si="282"/>
        <v>0</v>
      </c>
      <c r="AB663" s="42">
        <f t="shared" si="282"/>
        <v>0</v>
      </c>
      <c r="AC663" s="42">
        <f t="shared" si="282"/>
        <v>0</v>
      </c>
      <c r="AD663" s="42">
        <f t="shared" si="282"/>
        <v>0</v>
      </c>
    </row>
    <row r="664" spans="1:30" s="45" customFormat="1" outlineLevel="1">
      <c r="A664" s="45" t="str">
        <f>A624</f>
        <v>product logistics - copper conc</v>
      </c>
      <c r="B664" s="45" t="str">
        <f>B624</f>
        <v>A$ millions Real</v>
      </c>
      <c r="C664" s="42">
        <f t="shared" si="281"/>
        <v>183.35328215336625</v>
      </c>
      <c r="D664" s="42">
        <f t="shared" ref="D664:AD664" si="283">D624</f>
        <v>0</v>
      </c>
      <c r="E664" s="42">
        <f t="shared" si="283"/>
        <v>0</v>
      </c>
      <c r="F664" s="42">
        <f t="shared" si="283"/>
        <v>6.4577184958961622</v>
      </c>
      <c r="G664" s="42">
        <f t="shared" si="283"/>
        <v>11.610920019851113</v>
      </c>
      <c r="H664" s="42">
        <f t="shared" si="283"/>
        <v>12.484794742365594</v>
      </c>
      <c r="I664" s="42">
        <f t="shared" si="283"/>
        <v>12.575729571509676</v>
      </c>
      <c r="J664" s="42">
        <f t="shared" si="283"/>
        <v>13.120823660265636</v>
      </c>
      <c r="K664" s="42">
        <f t="shared" si="283"/>
        <v>12.132996421431114</v>
      </c>
      <c r="L664" s="42">
        <f t="shared" si="283"/>
        <v>12.148001930001467</v>
      </c>
      <c r="M664" s="42">
        <f t="shared" si="283"/>
        <v>12.27424471133947</v>
      </c>
      <c r="N664" s="42">
        <f t="shared" si="283"/>
        <v>12.364840348417026</v>
      </c>
      <c r="O664" s="42">
        <f t="shared" si="283"/>
        <v>12.456341941865354</v>
      </c>
      <c r="P664" s="42">
        <f t="shared" si="283"/>
        <v>12.588230961347428</v>
      </c>
      <c r="Q664" s="42">
        <f t="shared" si="283"/>
        <v>12.305783643842542</v>
      </c>
      <c r="R664" s="42">
        <f t="shared" si="283"/>
        <v>12.316493064573038</v>
      </c>
      <c r="S664" s="42">
        <f t="shared" si="283"/>
        <v>12.408570970129162</v>
      </c>
      <c r="T664" s="42">
        <f t="shared" si="283"/>
        <v>16.107791670531476</v>
      </c>
      <c r="U664" s="42">
        <f t="shared" si="283"/>
        <v>0</v>
      </c>
      <c r="V664" s="42">
        <f t="shared" si="283"/>
        <v>0</v>
      </c>
      <c r="W664" s="42">
        <f t="shared" si="283"/>
        <v>0</v>
      </c>
      <c r="X664" s="42">
        <f t="shared" si="283"/>
        <v>0</v>
      </c>
      <c r="Y664" s="42">
        <f t="shared" si="283"/>
        <v>0</v>
      </c>
      <c r="Z664" s="42">
        <f t="shared" si="283"/>
        <v>0</v>
      </c>
      <c r="AA664" s="42">
        <f t="shared" si="283"/>
        <v>0</v>
      </c>
      <c r="AB664" s="42">
        <f t="shared" si="283"/>
        <v>0</v>
      </c>
      <c r="AC664" s="42">
        <f t="shared" si="283"/>
        <v>0</v>
      </c>
      <c r="AD664" s="42">
        <f t="shared" si="283"/>
        <v>0</v>
      </c>
    </row>
    <row r="665" spans="1:30" s="45" customFormat="1" outlineLevel="1">
      <c r="A665" s="45" t="s">
        <v>389</v>
      </c>
      <c r="B665" s="45" t="s">
        <v>284</v>
      </c>
      <c r="C665" s="42">
        <f t="shared" si="281"/>
        <v>10662.453824112754</v>
      </c>
      <c r="D665" s="42">
        <f>D663-D664</f>
        <v>0</v>
      </c>
      <c r="E665" s="42">
        <f t="shared" ref="E665:AD665" si="284">E663-E664</f>
        <v>0</v>
      </c>
      <c r="F665" s="42">
        <f t="shared" si="284"/>
        <v>396.49039596688914</v>
      </c>
      <c r="G665" s="42">
        <f t="shared" si="284"/>
        <v>707.67560142781292</v>
      </c>
      <c r="H665" s="42">
        <f t="shared" si="284"/>
        <v>755.35995614373155</v>
      </c>
      <c r="I665" s="42">
        <f t="shared" si="284"/>
        <v>755.26902131458746</v>
      </c>
      <c r="J665" s="42">
        <f t="shared" si="284"/>
        <v>782.19766230283949</v>
      </c>
      <c r="K665" s="42">
        <f t="shared" si="284"/>
        <v>717.96199057009483</v>
      </c>
      <c r="L665" s="42">
        <f t="shared" si="284"/>
        <v>713.52184426962049</v>
      </c>
      <c r="M665" s="42">
        <f t="shared" si="284"/>
        <v>715.57859206610669</v>
      </c>
      <c r="N665" s="42">
        <f t="shared" si="284"/>
        <v>715.48799642902918</v>
      </c>
      <c r="O665" s="42">
        <f t="shared" si="284"/>
        <v>715.39649483558082</v>
      </c>
      <c r="P665" s="42">
        <f t="shared" si="284"/>
        <v>717.55408373918272</v>
      </c>
      <c r="Q665" s="42">
        <f t="shared" si="284"/>
        <v>696.18410418721101</v>
      </c>
      <c r="R665" s="42">
        <f t="shared" si="284"/>
        <v>691.54119524768259</v>
      </c>
      <c r="S665" s="42">
        <f t="shared" si="284"/>
        <v>691.44911734212644</v>
      </c>
      <c r="T665" s="42">
        <f t="shared" si="284"/>
        <v>890.7857682702595</v>
      </c>
      <c r="U665" s="42">
        <f t="shared" si="284"/>
        <v>0</v>
      </c>
      <c r="V665" s="42">
        <f t="shared" si="284"/>
        <v>0</v>
      </c>
      <c r="W665" s="42">
        <f t="shared" si="284"/>
        <v>0</v>
      </c>
      <c r="X665" s="42">
        <f t="shared" si="284"/>
        <v>0</v>
      </c>
      <c r="Y665" s="42">
        <f t="shared" si="284"/>
        <v>0</v>
      </c>
      <c r="Z665" s="42">
        <f t="shared" si="284"/>
        <v>0</v>
      </c>
      <c r="AA665" s="42">
        <f t="shared" si="284"/>
        <v>0</v>
      </c>
      <c r="AB665" s="42">
        <f t="shared" si="284"/>
        <v>0</v>
      </c>
      <c r="AC665" s="42">
        <f t="shared" si="284"/>
        <v>0</v>
      </c>
      <c r="AD665" s="42">
        <f t="shared" si="284"/>
        <v>0</v>
      </c>
    </row>
    <row r="666" spans="1:30" s="45" customFormat="1" ht="12" customHeight="1" outlineLevel="1">
      <c r="A666" s="167" t="s">
        <v>458</v>
      </c>
      <c r="C666" s="42"/>
      <c r="D666" s="42"/>
      <c r="E666" s="42"/>
      <c r="F666" s="42"/>
      <c r="G666" s="42"/>
      <c r="H666" s="42"/>
      <c r="I666" s="42"/>
      <c r="J666" s="42"/>
      <c r="K666" s="42"/>
      <c r="L666" s="42"/>
      <c r="M666" s="42"/>
      <c r="N666" s="42"/>
      <c r="O666" s="42"/>
      <c r="P666" s="42"/>
      <c r="Q666" s="42"/>
      <c r="R666" s="42"/>
      <c r="S666" s="42"/>
      <c r="T666" s="42"/>
      <c r="U666" s="42"/>
      <c r="V666" s="42"/>
      <c r="W666" s="42"/>
      <c r="X666" s="42"/>
      <c r="Y666" s="42"/>
      <c r="Z666" s="42"/>
      <c r="AA666" s="42"/>
      <c r="AB666" s="42"/>
      <c r="AC666" s="42"/>
      <c r="AD666" s="42"/>
    </row>
    <row r="667" spans="1:30" outlineLevel="1">
      <c r="A667" s="247" t="str">
        <f>'Expected NPV &amp; Common Data'!A76</f>
        <v>State copper royalty</v>
      </c>
      <c r="B667" s="247" t="str">
        <f>'Expected NPV &amp; Common Data'!B76</f>
        <v>%</v>
      </c>
      <c r="C667" s="262"/>
      <c r="D667" s="262">
        <f>'Expected NPV &amp; Common Data'!D76</f>
        <v>0.06</v>
      </c>
      <c r="E667" s="262">
        <f>'Expected NPV &amp; Common Data'!E76</f>
        <v>0.06</v>
      </c>
      <c r="F667" s="262">
        <f>'Expected NPV &amp; Common Data'!F76</f>
        <v>0.06</v>
      </c>
      <c r="G667" s="262">
        <f>'Expected NPV &amp; Common Data'!G76</f>
        <v>0.06</v>
      </c>
      <c r="H667" s="262">
        <f>'Expected NPV &amp; Common Data'!H76</f>
        <v>0.06</v>
      </c>
      <c r="I667" s="262">
        <f>'Expected NPV &amp; Common Data'!I76</f>
        <v>0.06</v>
      </c>
      <c r="J667" s="262">
        <f>'Expected NPV &amp; Common Data'!J76</f>
        <v>0.06</v>
      </c>
      <c r="K667" s="262">
        <f>'Expected NPV &amp; Common Data'!K76</f>
        <v>0.06</v>
      </c>
      <c r="L667" s="262">
        <f>'Expected NPV &amp; Common Data'!L76</f>
        <v>0.06</v>
      </c>
      <c r="M667" s="262">
        <f>'Expected NPV &amp; Common Data'!M76</f>
        <v>0.06</v>
      </c>
      <c r="N667" s="262">
        <f>'Expected NPV &amp; Common Data'!N76</f>
        <v>0.06</v>
      </c>
      <c r="O667" s="262">
        <f>'Expected NPV &amp; Common Data'!O76</f>
        <v>0.06</v>
      </c>
      <c r="P667" s="262">
        <f>'Expected NPV &amp; Common Data'!P76</f>
        <v>0.06</v>
      </c>
      <c r="Q667" s="262">
        <f>'Expected NPV &amp; Common Data'!Q76</f>
        <v>0.06</v>
      </c>
      <c r="R667" s="262">
        <f>'Expected NPV &amp; Common Data'!R76</f>
        <v>0.06</v>
      </c>
      <c r="S667" s="262">
        <f>'Expected NPV &amp; Common Data'!S76</f>
        <v>0.06</v>
      </c>
      <c r="T667" s="262">
        <f>'Expected NPV &amp; Common Data'!T76</f>
        <v>0.06</v>
      </c>
      <c r="U667" s="262">
        <f>'Expected NPV &amp; Common Data'!U76</f>
        <v>0.06</v>
      </c>
      <c r="V667" s="262">
        <f>'Expected NPV &amp; Common Data'!V76</f>
        <v>0.06</v>
      </c>
      <c r="W667" s="262">
        <f>'Expected NPV &amp; Common Data'!W76</f>
        <v>0.06</v>
      </c>
      <c r="X667" s="262">
        <f>'Expected NPV &amp; Common Data'!X76</f>
        <v>0.06</v>
      </c>
      <c r="Y667" s="262">
        <f>'Expected NPV &amp; Common Data'!Y76</f>
        <v>0.06</v>
      </c>
      <c r="Z667" s="262">
        <f>'Expected NPV &amp; Common Data'!Z76</f>
        <v>0.06</v>
      </c>
      <c r="AA667" s="262">
        <f>'Expected NPV &amp; Common Data'!AA76</f>
        <v>0.06</v>
      </c>
      <c r="AB667" s="262">
        <f>'Expected NPV &amp; Common Data'!AB76</f>
        <v>0.06</v>
      </c>
      <c r="AC667" s="262">
        <f>'Expected NPV &amp; Common Data'!AC76</f>
        <v>0.06</v>
      </c>
      <c r="AD667" s="262">
        <f>'Expected NPV &amp; Common Data'!AD76</f>
        <v>0.06</v>
      </c>
    </row>
    <row r="668" spans="1:30" outlineLevel="1">
      <c r="A668" s="247" t="str">
        <f>'Expected NPV &amp; Common Data'!A77</f>
        <v xml:space="preserve">Copper price on LME </v>
      </c>
      <c r="B668" s="247" t="str">
        <f>'Expected NPV &amp; Common Data'!B77</f>
        <v>US$/tonne Cu in 2015 Real terms</v>
      </c>
      <c r="C668" s="300">
        <f>'Expected NPV &amp; Common Data'!C77</f>
        <v>2.041742286751361</v>
      </c>
      <c r="D668" s="248">
        <f>'Expected NPV &amp; Common Data'!D77</f>
        <v>4500</v>
      </c>
      <c r="E668" s="248">
        <f>'Expected NPV &amp; Common Data'!E77</f>
        <v>4500</v>
      </c>
      <c r="F668" s="248">
        <f>'Expected NPV &amp; Common Data'!F77</f>
        <v>4500</v>
      </c>
      <c r="G668" s="248">
        <f>'Expected NPV &amp; Common Data'!G77</f>
        <v>4500</v>
      </c>
      <c r="H668" s="248">
        <f>'Expected NPV &amp; Common Data'!H77</f>
        <v>4500</v>
      </c>
      <c r="I668" s="248">
        <f>'Expected NPV &amp; Common Data'!I77</f>
        <v>4500</v>
      </c>
      <c r="J668" s="248">
        <f>'Expected NPV &amp; Common Data'!J77</f>
        <v>4500</v>
      </c>
      <c r="K668" s="248">
        <f>'Expected NPV &amp; Common Data'!K77</f>
        <v>4500</v>
      </c>
      <c r="L668" s="248">
        <f>'Expected NPV &amp; Common Data'!L77</f>
        <v>4500</v>
      </c>
      <c r="M668" s="248">
        <f>'Expected NPV &amp; Common Data'!M77</f>
        <v>4500</v>
      </c>
      <c r="N668" s="248">
        <f>'Expected NPV &amp; Common Data'!N77</f>
        <v>4500</v>
      </c>
      <c r="O668" s="248">
        <f>'Expected NPV &amp; Common Data'!O77</f>
        <v>4500</v>
      </c>
      <c r="P668" s="248">
        <f>'Expected NPV &amp; Common Data'!P77</f>
        <v>4500</v>
      </c>
      <c r="Q668" s="248">
        <f>'Expected NPV &amp; Common Data'!Q77</f>
        <v>4500</v>
      </c>
      <c r="R668" s="248">
        <f>'Expected NPV &amp; Common Data'!R77</f>
        <v>4500</v>
      </c>
      <c r="S668" s="248">
        <f>'Expected NPV &amp; Common Data'!S77</f>
        <v>4500</v>
      </c>
      <c r="T668" s="248">
        <f>'Expected NPV &amp; Common Data'!T77</f>
        <v>4500</v>
      </c>
      <c r="U668" s="248">
        <f>'Expected NPV &amp; Common Data'!U77</f>
        <v>4500</v>
      </c>
      <c r="V668" s="248">
        <f>'Expected NPV &amp; Common Data'!V77</f>
        <v>4500</v>
      </c>
      <c r="W668" s="248">
        <f>'Expected NPV &amp; Common Data'!W77</f>
        <v>4500</v>
      </c>
      <c r="X668" s="248">
        <f>'Expected NPV &amp; Common Data'!X77</f>
        <v>4500</v>
      </c>
      <c r="Y668" s="248">
        <f>'Expected NPV &amp; Common Data'!Y77</f>
        <v>4500</v>
      </c>
      <c r="Z668" s="248">
        <f>'Expected NPV &amp; Common Data'!Z77</f>
        <v>4500</v>
      </c>
      <c r="AA668" s="248">
        <f>'Expected NPV &amp; Common Data'!AA77</f>
        <v>4500</v>
      </c>
      <c r="AB668" s="248">
        <f>'Expected NPV &amp; Common Data'!AB77</f>
        <v>4500</v>
      </c>
      <c r="AC668" s="248">
        <f>'Expected NPV &amp; Common Data'!AC77</f>
        <v>4500</v>
      </c>
      <c r="AD668" s="248">
        <f>'Expected NPV &amp; Common Data'!AD77</f>
        <v>4500</v>
      </c>
    </row>
    <row r="669" spans="1:30" outlineLevel="1">
      <c r="A669" s="247" t="str">
        <f>'Expected NPV &amp; Common Data'!A78</f>
        <v>State copper royalty</v>
      </c>
      <c r="B669" s="247" t="str">
        <f>'Expected NPV &amp; Common Data'!B78</f>
        <v>%</v>
      </c>
      <c r="C669" s="262"/>
      <c r="D669" s="262">
        <f>'Expected NPV &amp; Common Data'!D78</f>
        <v>7.0000000000000007E-2</v>
      </c>
      <c r="E669" s="262">
        <f>'Expected NPV &amp; Common Data'!E78</f>
        <v>7.0000000000000007E-2</v>
      </c>
      <c r="F669" s="262">
        <f>'Expected NPV &amp; Common Data'!F78</f>
        <v>7.0000000000000007E-2</v>
      </c>
      <c r="G669" s="262">
        <f>'Expected NPV &amp; Common Data'!G78</f>
        <v>7.0000000000000007E-2</v>
      </c>
      <c r="H669" s="262">
        <f>'Expected NPV &amp; Common Data'!H78</f>
        <v>7.0000000000000007E-2</v>
      </c>
      <c r="I669" s="262">
        <f>'Expected NPV &amp; Common Data'!I78</f>
        <v>7.0000000000000007E-2</v>
      </c>
      <c r="J669" s="262">
        <f>'Expected NPV &amp; Common Data'!J78</f>
        <v>7.0000000000000007E-2</v>
      </c>
      <c r="K669" s="262">
        <f>'Expected NPV &amp; Common Data'!K78</f>
        <v>7.0000000000000007E-2</v>
      </c>
      <c r="L669" s="262">
        <f>'Expected NPV &amp; Common Data'!L78</f>
        <v>7.0000000000000007E-2</v>
      </c>
      <c r="M669" s="262">
        <f>'Expected NPV &amp; Common Data'!M78</f>
        <v>7.0000000000000007E-2</v>
      </c>
      <c r="N669" s="262">
        <f>'Expected NPV &amp; Common Data'!N78</f>
        <v>7.0000000000000007E-2</v>
      </c>
      <c r="O669" s="262">
        <f>'Expected NPV &amp; Common Data'!O78</f>
        <v>7.0000000000000007E-2</v>
      </c>
      <c r="P669" s="262">
        <f>'Expected NPV &amp; Common Data'!P78</f>
        <v>7.0000000000000007E-2</v>
      </c>
      <c r="Q669" s="262">
        <f>'Expected NPV &amp; Common Data'!Q78</f>
        <v>7.0000000000000007E-2</v>
      </c>
      <c r="R669" s="262">
        <f>'Expected NPV &amp; Common Data'!R78</f>
        <v>7.0000000000000007E-2</v>
      </c>
      <c r="S669" s="262">
        <f>'Expected NPV &amp; Common Data'!S78</f>
        <v>7.0000000000000007E-2</v>
      </c>
      <c r="T669" s="262">
        <f>'Expected NPV &amp; Common Data'!T78</f>
        <v>7.0000000000000007E-2</v>
      </c>
      <c r="U669" s="262">
        <f>'Expected NPV &amp; Common Data'!U78</f>
        <v>7.0000000000000007E-2</v>
      </c>
      <c r="V669" s="262">
        <f>'Expected NPV &amp; Common Data'!V78</f>
        <v>7.0000000000000007E-2</v>
      </c>
      <c r="W669" s="262">
        <f>'Expected NPV &amp; Common Data'!W78</f>
        <v>7.0000000000000007E-2</v>
      </c>
      <c r="X669" s="262">
        <f>'Expected NPV &amp; Common Data'!X78</f>
        <v>7.0000000000000007E-2</v>
      </c>
      <c r="Y669" s="262">
        <f>'Expected NPV &amp; Common Data'!Y78</f>
        <v>7.0000000000000007E-2</v>
      </c>
      <c r="Z669" s="262">
        <f>'Expected NPV &amp; Common Data'!Z78</f>
        <v>7.0000000000000007E-2</v>
      </c>
      <c r="AA669" s="262">
        <f>'Expected NPV &amp; Common Data'!AA78</f>
        <v>7.0000000000000007E-2</v>
      </c>
      <c r="AB669" s="262">
        <f>'Expected NPV &amp; Common Data'!AB78</f>
        <v>7.0000000000000007E-2</v>
      </c>
      <c r="AC669" s="262">
        <f>'Expected NPV &amp; Common Data'!AC78</f>
        <v>7.0000000000000007E-2</v>
      </c>
      <c r="AD669" s="262">
        <f>'Expected NPV &amp; Common Data'!AD78</f>
        <v>7.0000000000000007E-2</v>
      </c>
    </row>
    <row r="670" spans="1:30" outlineLevel="1">
      <c r="A670" s="247" t="str">
        <f>'Expected NPV &amp; Common Data'!A79</f>
        <v>Copper price on LME</v>
      </c>
      <c r="B670" s="247" t="str">
        <f>'Expected NPV &amp; Common Data'!B79</f>
        <v>US$/tonne Cu in 2015 Real terms</v>
      </c>
      <c r="C670" s="300">
        <f>'Expected NPV &amp; Common Data'!C79</f>
        <v>2.9945553539019962</v>
      </c>
      <c r="D670" s="248">
        <f>'Expected NPV &amp; Common Data'!D79</f>
        <v>6600</v>
      </c>
      <c r="E670" s="248">
        <f>'Expected NPV &amp; Common Data'!E79</f>
        <v>6600</v>
      </c>
      <c r="F670" s="248">
        <f>'Expected NPV &amp; Common Data'!F79</f>
        <v>6600</v>
      </c>
      <c r="G670" s="248">
        <f>'Expected NPV &amp; Common Data'!G79</f>
        <v>6600</v>
      </c>
      <c r="H670" s="248">
        <f>'Expected NPV &amp; Common Data'!H79</f>
        <v>6600</v>
      </c>
      <c r="I670" s="248">
        <f>'Expected NPV &amp; Common Data'!I79</f>
        <v>6600</v>
      </c>
      <c r="J670" s="248">
        <f>'Expected NPV &amp; Common Data'!J79</f>
        <v>6600</v>
      </c>
      <c r="K670" s="248">
        <f>'Expected NPV &amp; Common Data'!K79</f>
        <v>6600</v>
      </c>
      <c r="L670" s="248">
        <f>'Expected NPV &amp; Common Data'!L79</f>
        <v>6600</v>
      </c>
      <c r="M670" s="248">
        <f>'Expected NPV &amp; Common Data'!M79</f>
        <v>6600</v>
      </c>
      <c r="N670" s="248">
        <f>'Expected NPV &amp; Common Data'!N79</f>
        <v>6600</v>
      </c>
      <c r="O670" s="248">
        <f>'Expected NPV &amp; Common Data'!O79</f>
        <v>6600</v>
      </c>
      <c r="P670" s="248">
        <f>'Expected NPV &amp; Common Data'!P79</f>
        <v>6600</v>
      </c>
      <c r="Q670" s="248">
        <f>'Expected NPV &amp; Common Data'!Q79</f>
        <v>6600</v>
      </c>
      <c r="R670" s="248">
        <f>'Expected NPV &amp; Common Data'!R79</f>
        <v>6600</v>
      </c>
      <c r="S670" s="248">
        <f>'Expected NPV &amp; Common Data'!S79</f>
        <v>6600</v>
      </c>
      <c r="T670" s="248">
        <f>'Expected NPV &amp; Common Data'!T79</f>
        <v>6600</v>
      </c>
      <c r="U670" s="248">
        <f>'Expected NPV &amp; Common Data'!U79</f>
        <v>6600</v>
      </c>
      <c r="V670" s="248">
        <f>'Expected NPV &amp; Common Data'!V79</f>
        <v>6600</v>
      </c>
      <c r="W670" s="248">
        <f>'Expected NPV &amp; Common Data'!W79</f>
        <v>6600</v>
      </c>
      <c r="X670" s="248">
        <f>'Expected NPV &amp; Common Data'!X79</f>
        <v>6600</v>
      </c>
      <c r="Y670" s="248">
        <f>'Expected NPV &amp; Common Data'!Y79</f>
        <v>6600</v>
      </c>
      <c r="Z670" s="248">
        <f>'Expected NPV &amp; Common Data'!Z79</f>
        <v>6600</v>
      </c>
      <c r="AA670" s="248">
        <f>'Expected NPV &amp; Common Data'!AA79</f>
        <v>6600</v>
      </c>
      <c r="AB670" s="248">
        <f>'Expected NPV &amp; Common Data'!AB79</f>
        <v>6600</v>
      </c>
      <c r="AC670" s="248">
        <f>'Expected NPV &amp; Common Data'!AC79</f>
        <v>6600</v>
      </c>
      <c r="AD670" s="248">
        <f>'Expected NPV &amp; Common Data'!AD79</f>
        <v>6600</v>
      </c>
    </row>
    <row r="671" spans="1:30" outlineLevel="1">
      <c r="A671" s="247" t="str">
        <f>'Expected NPV &amp; Common Data'!A80</f>
        <v>State copper royalty</v>
      </c>
      <c r="B671" s="247" t="str">
        <f>'Expected NPV &amp; Common Data'!B80</f>
        <v>%</v>
      </c>
      <c r="C671" s="262"/>
      <c r="D671" s="262">
        <f>'Expected NPV &amp; Common Data'!D80</f>
        <v>0.08</v>
      </c>
      <c r="E671" s="262">
        <f>'Expected NPV &amp; Common Data'!E80</f>
        <v>0.08</v>
      </c>
      <c r="F671" s="262">
        <f>'Expected NPV &amp; Common Data'!F80</f>
        <v>0.08</v>
      </c>
      <c r="G671" s="262">
        <f>'Expected NPV &amp; Common Data'!G80</f>
        <v>0.08</v>
      </c>
      <c r="H671" s="262">
        <f>'Expected NPV &amp; Common Data'!H80</f>
        <v>0.08</v>
      </c>
      <c r="I671" s="262">
        <f>'Expected NPV &amp; Common Data'!I80</f>
        <v>0.08</v>
      </c>
      <c r="J671" s="262">
        <f>'Expected NPV &amp; Common Data'!J80</f>
        <v>0.08</v>
      </c>
      <c r="K671" s="262">
        <f>'Expected NPV &amp; Common Data'!K80</f>
        <v>0.08</v>
      </c>
      <c r="L671" s="262">
        <f>'Expected NPV &amp; Common Data'!L80</f>
        <v>0.08</v>
      </c>
      <c r="M671" s="262">
        <f>'Expected NPV &amp; Common Data'!M80</f>
        <v>0.08</v>
      </c>
      <c r="N671" s="262">
        <f>'Expected NPV &amp; Common Data'!N80</f>
        <v>0.08</v>
      </c>
      <c r="O671" s="262">
        <f>'Expected NPV &amp; Common Data'!O80</f>
        <v>0.08</v>
      </c>
      <c r="P671" s="262">
        <f>'Expected NPV &amp; Common Data'!P80</f>
        <v>0.08</v>
      </c>
      <c r="Q671" s="262">
        <f>'Expected NPV &amp; Common Data'!Q80</f>
        <v>0.08</v>
      </c>
      <c r="R671" s="262">
        <f>'Expected NPV &amp; Common Data'!R80</f>
        <v>0.08</v>
      </c>
      <c r="S671" s="262">
        <f>'Expected NPV &amp; Common Data'!S80</f>
        <v>0.08</v>
      </c>
      <c r="T671" s="262">
        <f>'Expected NPV &amp; Common Data'!T80</f>
        <v>0.08</v>
      </c>
      <c r="U671" s="262">
        <f>'Expected NPV &amp; Common Data'!U80</f>
        <v>0.08</v>
      </c>
      <c r="V671" s="262">
        <f>'Expected NPV &amp; Common Data'!V80</f>
        <v>0.08</v>
      </c>
      <c r="W671" s="262">
        <f>'Expected NPV &amp; Common Data'!W80</f>
        <v>0.08</v>
      </c>
      <c r="X671" s="262">
        <f>'Expected NPV &amp; Common Data'!X80</f>
        <v>0.08</v>
      </c>
      <c r="Y671" s="262">
        <f>'Expected NPV &amp; Common Data'!Y80</f>
        <v>0.08</v>
      </c>
      <c r="Z671" s="262">
        <f>'Expected NPV &amp; Common Data'!Z80</f>
        <v>0.08</v>
      </c>
      <c r="AA671" s="262">
        <f>'Expected NPV &amp; Common Data'!AA80</f>
        <v>0.08</v>
      </c>
      <c r="AB671" s="262">
        <f>'Expected NPV &amp; Common Data'!AB80</f>
        <v>0.08</v>
      </c>
      <c r="AC671" s="262">
        <f>'Expected NPV &amp; Common Data'!AC80</f>
        <v>0.08</v>
      </c>
      <c r="AD671" s="262">
        <f>'Expected NPV &amp; Common Data'!AD80</f>
        <v>0.08</v>
      </c>
    </row>
    <row r="672" spans="1:30" outlineLevel="1">
      <c r="A672" s="247" t="str">
        <f>'Expected NPV &amp; Common Data'!A81</f>
        <v>Copper price on LME</v>
      </c>
      <c r="B672" s="247" t="str">
        <f>'Expected NPV &amp; Common Data'!B81</f>
        <v>US$/tonne Cu in 2015 Real terms</v>
      </c>
      <c r="C672" s="300">
        <f>'Expected NPV &amp; Common Data'!C81</f>
        <v>3.9927404718693285</v>
      </c>
      <c r="D672" s="248">
        <f>'Expected NPV &amp; Common Data'!D81</f>
        <v>8800</v>
      </c>
      <c r="E672" s="248">
        <f>'Expected NPV &amp; Common Data'!E81</f>
        <v>8800</v>
      </c>
      <c r="F672" s="248">
        <f>'Expected NPV &amp; Common Data'!F81</f>
        <v>8800</v>
      </c>
      <c r="G672" s="248">
        <f>'Expected NPV &amp; Common Data'!G81</f>
        <v>8800</v>
      </c>
      <c r="H672" s="248">
        <f>'Expected NPV &amp; Common Data'!H81</f>
        <v>8800</v>
      </c>
      <c r="I672" s="248">
        <f>'Expected NPV &amp; Common Data'!I81</f>
        <v>8800</v>
      </c>
      <c r="J672" s="248">
        <f>'Expected NPV &amp; Common Data'!J81</f>
        <v>8800</v>
      </c>
      <c r="K672" s="248">
        <f>'Expected NPV &amp; Common Data'!K81</f>
        <v>8800</v>
      </c>
      <c r="L672" s="248">
        <f>'Expected NPV &amp; Common Data'!L81</f>
        <v>8800</v>
      </c>
      <c r="M672" s="248">
        <f>'Expected NPV &amp; Common Data'!M81</f>
        <v>8800</v>
      </c>
      <c r="N672" s="248">
        <f>'Expected NPV &amp; Common Data'!N81</f>
        <v>8800</v>
      </c>
      <c r="O672" s="248">
        <f>'Expected NPV &amp; Common Data'!O81</f>
        <v>8800</v>
      </c>
      <c r="P672" s="248">
        <f>'Expected NPV &amp; Common Data'!P81</f>
        <v>8800</v>
      </c>
      <c r="Q672" s="248">
        <f>'Expected NPV &amp; Common Data'!Q81</f>
        <v>8800</v>
      </c>
      <c r="R672" s="248">
        <f>'Expected NPV &amp; Common Data'!R81</f>
        <v>8800</v>
      </c>
      <c r="S672" s="248">
        <f>'Expected NPV &amp; Common Data'!S81</f>
        <v>8800</v>
      </c>
      <c r="T672" s="248">
        <f>'Expected NPV &amp; Common Data'!T81</f>
        <v>8800</v>
      </c>
      <c r="U672" s="248">
        <f>'Expected NPV &amp; Common Data'!U81</f>
        <v>8800</v>
      </c>
      <c r="V672" s="248">
        <f>'Expected NPV &amp; Common Data'!V81</f>
        <v>8800</v>
      </c>
      <c r="W672" s="248">
        <f>'Expected NPV &amp; Common Data'!W81</f>
        <v>8800</v>
      </c>
      <c r="X672" s="248">
        <f>'Expected NPV &amp; Common Data'!X81</f>
        <v>8800</v>
      </c>
      <c r="Y672" s="248">
        <f>'Expected NPV &amp; Common Data'!Y81</f>
        <v>8800</v>
      </c>
      <c r="Z672" s="248">
        <f>'Expected NPV &amp; Common Data'!Z81</f>
        <v>8800</v>
      </c>
      <c r="AA672" s="248">
        <f>'Expected NPV &amp; Common Data'!AA81</f>
        <v>8800</v>
      </c>
      <c r="AB672" s="248">
        <f>'Expected NPV &amp; Common Data'!AB81</f>
        <v>8800</v>
      </c>
      <c r="AC672" s="248">
        <f>'Expected NPV &amp; Common Data'!AC81</f>
        <v>8800</v>
      </c>
      <c r="AD672" s="248">
        <f>'Expected NPV &amp; Common Data'!AD81</f>
        <v>8800</v>
      </c>
    </row>
    <row r="673" spans="1:30" outlineLevel="1">
      <c r="A673" s="247" t="str">
        <f>'Expected NPV &amp; Common Data'!A82</f>
        <v>State copper royalty</v>
      </c>
      <c r="B673" s="247" t="str">
        <f>'Expected NPV &amp; Common Data'!B82</f>
        <v>%</v>
      </c>
      <c r="C673" s="262"/>
      <c r="D673" s="262">
        <f>'Expected NPV &amp; Common Data'!D82</f>
        <v>0.09</v>
      </c>
      <c r="E673" s="262">
        <f>'Expected NPV &amp; Common Data'!E82</f>
        <v>0.09</v>
      </c>
      <c r="F673" s="262">
        <f>'Expected NPV &amp; Common Data'!F82</f>
        <v>0.09</v>
      </c>
      <c r="G673" s="262">
        <f>'Expected NPV &amp; Common Data'!G82</f>
        <v>0.09</v>
      </c>
      <c r="H673" s="262">
        <f>'Expected NPV &amp; Common Data'!H82</f>
        <v>0.09</v>
      </c>
      <c r="I673" s="262">
        <f>'Expected NPV &amp; Common Data'!I82</f>
        <v>0.09</v>
      </c>
      <c r="J673" s="262">
        <f>'Expected NPV &amp; Common Data'!J82</f>
        <v>0.09</v>
      </c>
      <c r="K673" s="262">
        <f>'Expected NPV &amp; Common Data'!K82</f>
        <v>0.09</v>
      </c>
      <c r="L673" s="262">
        <f>'Expected NPV &amp; Common Data'!L82</f>
        <v>0.09</v>
      </c>
      <c r="M673" s="262">
        <f>'Expected NPV &amp; Common Data'!M82</f>
        <v>0.09</v>
      </c>
      <c r="N673" s="262">
        <f>'Expected NPV &amp; Common Data'!N82</f>
        <v>0.09</v>
      </c>
      <c r="O673" s="262">
        <f>'Expected NPV &amp; Common Data'!O82</f>
        <v>0.09</v>
      </c>
      <c r="P673" s="262">
        <f>'Expected NPV &amp; Common Data'!P82</f>
        <v>0.09</v>
      </c>
      <c r="Q673" s="262">
        <f>'Expected NPV &amp; Common Data'!Q82</f>
        <v>0.09</v>
      </c>
      <c r="R673" s="262">
        <f>'Expected NPV &amp; Common Data'!R82</f>
        <v>0.09</v>
      </c>
      <c r="S673" s="262">
        <f>'Expected NPV &amp; Common Data'!S82</f>
        <v>0.09</v>
      </c>
      <c r="T673" s="262">
        <f>'Expected NPV &amp; Common Data'!T82</f>
        <v>0.09</v>
      </c>
      <c r="U673" s="262">
        <f>'Expected NPV &amp; Common Data'!U82</f>
        <v>0.09</v>
      </c>
      <c r="V673" s="262">
        <f>'Expected NPV &amp; Common Data'!V82</f>
        <v>0.09</v>
      </c>
      <c r="W673" s="262">
        <f>'Expected NPV &amp; Common Data'!W82</f>
        <v>0.09</v>
      </c>
      <c r="X673" s="262">
        <f>'Expected NPV &amp; Common Data'!X82</f>
        <v>0.09</v>
      </c>
      <c r="Y673" s="262">
        <f>'Expected NPV &amp; Common Data'!Y82</f>
        <v>0.09</v>
      </c>
      <c r="Z673" s="262">
        <f>'Expected NPV &amp; Common Data'!Z82</f>
        <v>0.09</v>
      </c>
      <c r="AA673" s="262">
        <f>'Expected NPV &amp; Common Data'!AA82</f>
        <v>0.09</v>
      </c>
      <c r="AB673" s="262">
        <f>'Expected NPV &amp; Common Data'!AB82</f>
        <v>0.09</v>
      </c>
      <c r="AC673" s="262">
        <f>'Expected NPV &amp; Common Data'!AC82</f>
        <v>0.09</v>
      </c>
      <c r="AD673" s="262">
        <f>'Expected NPV &amp; Common Data'!AD82</f>
        <v>0.09</v>
      </c>
    </row>
    <row r="674" spans="1:30" outlineLevel="1">
      <c r="A674" s="247" t="str">
        <f>'Expected NPV &amp; Common Data'!A83</f>
        <v>Copper price on LME</v>
      </c>
      <c r="B674" s="247" t="str">
        <f>'Expected NPV &amp; Common Data'!B83</f>
        <v>US$/tonne Cu in 2015 Real terms</v>
      </c>
      <c r="C674" s="300">
        <f>'Expected NPV &amp; Common Data'!C83</f>
        <v>4.9909255898366602</v>
      </c>
      <c r="D674" s="248">
        <f>'Expected NPV &amp; Common Data'!D83</f>
        <v>11000</v>
      </c>
      <c r="E674" s="248">
        <f>'Expected NPV &amp; Common Data'!E83</f>
        <v>11000</v>
      </c>
      <c r="F674" s="248">
        <f>'Expected NPV &amp; Common Data'!F83</f>
        <v>11000</v>
      </c>
      <c r="G674" s="248">
        <f>'Expected NPV &amp; Common Data'!G83</f>
        <v>11000</v>
      </c>
      <c r="H674" s="248">
        <f>'Expected NPV &amp; Common Data'!H83</f>
        <v>11000</v>
      </c>
      <c r="I674" s="248">
        <f>'Expected NPV &amp; Common Data'!I83</f>
        <v>11000</v>
      </c>
      <c r="J674" s="248">
        <f>'Expected NPV &amp; Common Data'!J83</f>
        <v>11000</v>
      </c>
      <c r="K674" s="248">
        <f>'Expected NPV &amp; Common Data'!K83</f>
        <v>11000</v>
      </c>
      <c r="L674" s="248">
        <f>'Expected NPV &amp; Common Data'!L83</f>
        <v>11000</v>
      </c>
      <c r="M674" s="248">
        <f>'Expected NPV &amp; Common Data'!M83</f>
        <v>11000</v>
      </c>
      <c r="N674" s="248">
        <f>'Expected NPV &amp; Common Data'!N83</f>
        <v>11000</v>
      </c>
      <c r="O674" s="248">
        <f>'Expected NPV &amp; Common Data'!O83</f>
        <v>11000</v>
      </c>
      <c r="P674" s="248">
        <f>'Expected NPV &amp; Common Data'!P83</f>
        <v>11000</v>
      </c>
      <c r="Q674" s="248">
        <f>'Expected NPV &amp; Common Data'!Q83</f>
        <v>11000</v>
      </c>
      <c r="R674" s="248">
        <f>'Expected NPV &amp; Common Data'!R83</f>
        <v>11000</v>
      </c>
      <c r="S674" s="248">
        <f>'Expected NPV &amp; Common Data'!S83</f>
        <v>11000</v>
      </c>
      <c r="T674" s="248">
        <f>'Expected NPV &amp; Common Data'!T83</f>
        <v>11000</v>
      </c>
      <c r="U674" s="248">
        <f>'Expected NPV &amp; Common Data'!U83</f>
        <v>11000</v>
      </c>
      <c r="V674" s="248">
        <f>'Expected NPV &amp; Common Data'!V83</f>
        <v>11000</v>
      </c>
      <c r="W674" s="248">
        <f>'Expected NPV &amp; Common Data'!W83</f>
        <v>11000</v>
      </c>
      <c r="X674" s="248">
        <f>'Expected NPV &amp; Common Data'!X83</f>
        <v>11000</v>
      </c>
      <c r="Y674" s="248">
        <f>'Expected NPV &amp; Common Data'!Y83</f>
        <v>11000</v>
      </c>
      <c r="Z674" s="248">
        <f>'Expected NPV &amp; Common Data'!Z83</f>
        <v>11000</v>
      </c>
      <c r="AA674" s="248">
        <f>'Expected NPV &amp; Common Data'!AA83</f>
        <v>11000</v>
      </c>
      <c r="AB674" s="248">
        <f>'Expected NPV &amp; Common Data'!AB83</f>
        <v>11000</v>
      </c>
      <c r="AC674" s="248">
        <f>'Expected NPV &amp; Common Data'!AC83</f>
        <v>11000</v>
      </c>
      <c r="AD674" s="248">
        <f>'Expected NPV &amp; Common Data'!AD83</f>
        <v>11000</v>
      </c>
    </row>
    <row r="675" spans="1:30" outlineLevel="1">
      <c r="A675" s="247" t="str">
        <f>'Expected NPV &amp; Common Data'!A84</f>
        <v>State copper royalty</v>
      </c>
      <c r="B675" s="247" t="str">
        <f>'Expected NPV &amp; Common Data'!B84</f>
        <v>%</v>
      </c>
      <c r="C675" s="262"/>
      <c r="D675" s="262">
        <f>'Expected NPV &amp; Common Data'!D84</f>
        <v>0.1</v>
      </c>
      <c r="E675" s="262">
        <f>'Expected NPV &amp; Common Data'!E84</f>
        <v>0.1</v>
      </c>
      <c r="F675" s="262">
        <f>'Expected NPV &amp; Common Data'!F84</f>
        <v>0.1</v>
      </c>
      <c r="G675" s="262">
        <f>'Expected NPV &amp; Common Data'!G84</f>
        <v>0.1</v>
      </c>
      <c r="H675" s="262">
        <f>'Expected NPV &amp; Common Data'!H84</f>
        <v>0.1</v>
      </c>
      <c r="I675" s="262">
        <f>'Expected NPV &amp; Common Data'!I84</f>
        <v>0.1</v>
      </c>
      <c r="J675" s="262">
        <f>'Expected NPV &amp; Common Data'!J84</f>
        <v>0.1</v>
      </c>
      <c r="K675" s="262">
        <f>'Expected NPV &amp; Common Data'!K84</f>
        <v>0.1</v>
      </c>
      <c r="L675" s="262">
        <f>'Expected NPV &amp; Common Data'!L84</f>
        <v>0.1</v>
      </c>
      <c r="M675" s="262">
        <f>'Expected NPV &amp; Common Data'!M84</f>
        <v>0.1</v>
      </c>
      <c r="N675" s="262">
        <f>'Expected NPV &amp; Common Data'!N84</f>
        <v>0.1</v>
      </c>
      <c r="O675" s="262">
        <f>'Expected NPV &amp; Common Data'!O84</f>
        <v>0.1</v>
      </c>
      <c r="P675" s="262">
        <f>'Expected NPV &amp; Common Data'!P84</f>
        <v>0.1</v>
      </c>
      <c r="Q675" s="262">
        <f>'Expected NPV &amp; Common Data'!Q84</f>
        <v>0.1</v>
      </c>
      <c r="R675" s="262">
        <f>'Expected NPV &amp; Common Data'!R84</f>
        <v>0.1</v>
      </c>
      <c r="S675" s="262">
        <f>'Expected NPV &amp; Common Data'!S84</f>
        <v>0.1</v>
      </c>
      <c r="T675" s="262">
        <f>'Expected NPV &amp; Common Data'!T84</f>
        <v>0.1</v>
      </c>
      <c r="U675" s="262">
        <f>'Expected NPV &amp; Common Data'!U84</f>
        <v>0.1</v>
      </c>
      <c r="V675" s="262">
        <f>'Expected NPV &amp; Common Data'!V84</f>
        <v>0.1</v>
      </c>
      <c r="W675" s="262">
        <f>'Expected NPV &amp; Common Data'!W84</f>
        <v>0.1</v>
      </c>
      <c r="X675" s="262">
        <f>'Expected NPV &amp; Common Data'!X84</f>
        <v>0.1</v>
      </c>
      <c r="Y675" s="262">
        <f>'Expected NPV &amp; Common Data'!Y84</f>
        <v>0.1</v>
      </c>
      <c r="Z675" s="262">
        <f>'Expected NPV &amp; Common Data'!Z84</f>
        <v>0.1</v>
      </c>
      <c r="AA675" s="262">
        <f>'Expected NPV &amp; Common Data'!AA84</f>
        <v>0.1</v>
      </c>
      <c r="AB675" s="262">
        <f>'Expected NPV &amp; Common Data'!AB84</f>
        <v>0.1</v>
      </c>
      <c r="AC675" s="262">
        <f>'Expected NPV &amp; Common Data'!AC84</f>
        <v>0.1</v>
      </c>
      <c r="AD675" s="262">
        <f>'Expected NPV &amp; Common Data'!AD84</f>
        <v>0.1</v>
      </c>
    </row>
    <row r="676" spans="1:30" outlineLevel="1">
      <c r="A676" s="69" t="str">
        <f>A100</f>
        <v>Copper price forecast - High Case</v>
      </c>
      <c r="B676" s="13" t="str">
        <f>B100</f>
        <v>US$/ lb real</v>
      </c>
      <c r="C676" s="42"/>
      <c r="D676" s="57">
        <f t="shared" ref="D676:AD676" si="285">D100</f>
        <v>5</v>
      </c>
      <c r="E676" s="57">
        <f t="shared" si="285"/>
        <v>5</v>
      </c>
      <c r="F676" s="57">
        <f t="shared" si="285"/>
        <v>5</v>
      </c>
      <c r="G676" s="57">
        <f t="shared" si="285"/>
        <v>5</v>
      </c>
      <c r="H676" s="57">
        <f t="shared" si="285"/>
        <v>5</v>
      </c>
      <c r="I676" s="57">
        <f t="shared" si="285"/>
        <v>5</v>
      </c>
      <c r="J676" s="57">
        <f t="shared" si="285"/>
        <v>5</v>
      </c>
      <c r="K676" s="57">
        <f t="shared" si="285"/>
        <v>5</v>
      </c>
      <c r="L676" s="57">
        <f t="shared" si="285"/>
        <v>5</v>
      </c>
      <c r="M676" s="57">
        <f t="shared" si="285"/>
        <v>5</v>
      </c>
      <c r="N676" s="57">
        <f t="shared" si="285"/>
        <v>5</v>
      </c>
      <c r="O676" s="57">
        <f t="shared" si="285"/>
        <v>5</v>
      </c>
      <c r="P676" s="57">
        <f t="shared" si="285"/>
        <v>5</v>
      </c>
      <c r="Q676" s="57">
        <f t="shared" si="285"/>
        <v>5</v>
      </c>
      <c r="R676" s="57">
        <f t="shared" si="285"/>
        <v>5</v>
      </c>
      <c r="S676" s="57">
        <f t="shared" si="285"/>
        <v>5</v>
      </c>
      <c r="T676" s="57">
        <f t="shared" si="285"/>
        <v>5</v>
      </c>
      <c r="U676" s="57">
        <f t="shared" si="285"/>
        <v>5</v>
      </c>
      <c r="V676" s="57">
        <f t="shared" si="285"/>
        <v>5</v>
      </c>
      <c r="W676" s="57">
        <f t="shared" si="285"/>
        <v>5</v>
      </c>
      <c r="X676" s="57">
        <f t="shared" si="285"/>
        <v>5</v>
      </c>
      <c r="Y676" s="57">
        <f t="shared" si="285"/>
        <v>5</v>
      </c>
      <c r="Z676" s="57">
        <f t="shared" si="285"/>
        <v>5</v>
      </c>
      <c r="AA676" s="57">
        <f t="shared" si="285"/>
        <v>5</v>
      </c>
      <c r="AB676" s="57">
        <f t="shared" si="285"/>
        <v>5</v>
      </c>
      <c r="AC676" s="57">
        <f t="shared" si="285"/>
        <v>5</v>
      </c>
      <c r="AD676" s="57">
        <f t="shared" si="285"/>
        <v>5</v>
      </c>
    </row>
    <row r="677" spans="1:30" outlineLevel="1">
      <c r="A677" s="45" t="str">
        <f>A676</f>
        <v>Copper price forecast - High Case</v>
      </c>
      <c r="B677" s="13" t="s">
        <v>161</v>
      </c>
      <c r="D677" s="301">
        <f t="shared" ref="D677:AD677" si="286">D676*2204.6</f>
        <v>11023</v>
      </c>
      <c r="E677" s="301">
        <f t="shared" si="286"/>
        <v>11023</v>
      </c>
      <c r="F677" s="301">
        <f t="shared" si="286"/>
        <v>11023</v>
      </c>
      <c r="G677" s="301">
        <f t="shared" si="286"/>
        <v>11023</v>
      </c>
      <c r="H677" s="301">
        <f t="shared" si="286"/>
        <v>11023</v>
      </c>
      <c r="I677" s="301">
        <f t="shared" si="286"/>
        <v>11023</v>
      </c>
      <c r="J677" s="301">
        <f t="shared" si="286"/>
        <v>11023</v>
      </c>
      <c r="K677" s="301">
        <f t="shared" si="286"/>
        <v>11023</v>
      </c>
      <c r="L677" s="301">
        <f t="shared" si="286"/>
        <v>11023</v>
      </c>
      <c r="M677" s="301">
        <f t="shared" si="286"/>
        <v>11023</v>
      </c>
      <c r="N677" s="301">
        <f t="shared" si="286"/>
        <v>11023</v>
      </c>
      <c r="O677" s="301">
        <f t="shared" si="286"/>
        <v>11023</v>
      </c>
      <c r="P677" s="301">
        <f t="shared" si="286"/>
        <v>11023</v>
      </c>
      <c r="Q677" s="301">
        <f t="shared" si="286"/>
        <v>11023</v>
      </c>
      <c r="R677" s="301">
        <f t="shared" si="286"/>
        <v>11023</v>
      </c>
      <c r="S677" s="301">
        <f t="shared" si="286"/>
        <v>11023</v>
      </c>
      <c r="T677" s="301">
        <f t="shared" si="286"/>
        <v>11023</v>
      </c>
      <c r="U677" s="301">
        <f t="shared" si="286"/>
        <v>11023</v>
      </c>
      <c r="V677" s="301">
        <f t="shared" si="286"/>
        <v>11023</v>
      </c>
      <c r="W677" s="301">
        <f t="shared" si="286"/>
        <v>11023</v>
      </c>
      <c r="X677" s="301">
        <f t="shared" si="286"/>
        <v>11023</v>
      </c>
      <c r="Y677" s="301">
        <f t="shared" si="286"/>
        <v>11023</v>
      </c>
      <c r="Z677" s="301">
        <f t="shared" si="286"/>
        <v>11023</v>
      </c>
      <c r="AA677" s="301">
        <f t="shared" si="286"/>
        <v>11023</v>
      </c>
      <c r="AB677" s="301">
        <f t="shared" si="286"/>
        <v>11023</v>
      </c>
      <c r="AC677" s="301">
        <f t="shared" si="286"/>
        <v>11023</v>
      </c>
      <c r="AD677" s="301">
        <f t="shared" si="286"/>
        <v>11023</v>
      </c>
    </row>
    <row r="678" spans="1:30" outlineLevel="1">
      <c r="A678" s="45" t="s">
        <v>382</v>
      </c>
      <c r="B678" s="13" t="s">
        <v>162</v>
      </c>
      <c r="D678" s="302">
        <f t="shared" ref="D678:AD678" si="287">IF(D677&lt;D668,D667,IF(D677&lt;D670,D669,IF(D677&lt;D672,D671,IF(D677&lt;D674,D673,D675))))</f>
        <v>0.1</v>
      </c>
      <c r="E678" s="302">
        <f t="shared" si="287"/>
        <v>0.1</v>
      </c>
      <c r="F678" s="302">
        <f t="shared" si="287"/>
        <v>0.1</v>
      </c>
      <c r="G678" s="302">
        <f t="shared" si="287"/>
        <v>0.1</v>
      </c>
      <c r="H678" s="302">
        <f t="shared" si="287"/>
        <v>0.1</v>
      </c>
      <c r="I678" s="302">
        <f t="shared" si="287"/>
        <v>0.1</v>
      </c>
      <c r="J678" s="302">
        <f t="shared" si="287"/>
        <v>0.1</v>
      </c>
      <c r="K678" s="302">
        <f t="shared" si="287"/>
        <v>0.1</v>
      </c>
      <c r="L678" s="302">
        <f t="shared" si="287"/>
        <v>0.1</v>
      </c>
      <c r="M678" s="302">
        <f t="shared" si="287"/>
        <v>0.1</v>
      </c>
      <c r="N678" s="302">
        <f t="shared" si="287"/>
        <v>0.1</v>
      </c>
      <c r="O678" s="302">
        <f t="shared" si="287"/>
        <v>0.1</v>
      </c>
      <c r="P678" s="302">
        <f t="shared" si="287"/>
        <v>0.1</v>
      </c>
      <c r="Q678" s="302">
        <f t="shared" si="287"/>
        <v>0.1</v>
      </c>
      <c r="R678" s="302">
        <f t="shared" si="287"/>
        <v>0.1</v>
      </c>
      <c r="S678" s="302">
        <f t="shared" si="287"/>
        <v>0.1</v>
      </c>
      <c r="T678" s="302">
        <f t="shared" si="287"/>
        <v>0.1</v>
      </c>
      <c r="U678" s="302">
        <f t="shared" si="287"/>
        <v>0.1</v>
      </c>
      <c r="V678" s="302">
        <f t="shared" si="287"/>
        <v>0.1</v>
      </c>
      <c r="W678" s="302">
        <f t="shared" si="287"/>
        <v>0.1</v>
      </c>
      <c r="X678" s="302">
        <f t="shared" si="287"/>
        <v>0.1</v>
      </c>
      <c r="Y678" s="302">
        <f t="shared" si="287"/>
        <v>0.1</v>
      </c>
      <c r="Z678" s="302">
        <f t="shared" si="287"/>
        <v>0.1</v>
      </c>
      <c r="AA678" s="302">
        <f t="shared" si="287"/>
        <v>0.1</v>
      </c>
      <c r="AB678" s="302">
        <f t="shared" si="287"/>
        <v>0.1</v>
      </c>
      <c r="AC678" s="302">
        <f t="shared" si="287"/>
        <v>0.1</v>
      </c>
      <c r="AD678" s="302">
        <f t="shared" si="287"/>
        <v>0.1</v>
      </c>
    </row>
    <row r="679" spans="1:30" s="45" customFormat="1" outlineLevel="1">
      <c r="A679" s="59" t="s">
        <v>138</v>
      </c>
      <c r="B679" s="45" t="s">
        <v>284</v>
      </c>
      <c r="C679" s="44">
        <f>SUM(D679:AD679)</f>
        <v>1066.2453824112756</v>
      </c>
      <c r="D679" s="55">
        <f t="shared" ref="D679:AD679" si="288">D665*D678</f>
        <v>0</v>
      </c>
      <c r="E679" s="55">
        <f t="shared" si="288"/>
        <v>0</v>
      </c>
      <c r="F679" s="55">
        <f t="shared" si="288"/>
        <v>39.649039596688915</v>
      </c>
      <c r="G679" s="55">
        <f t="shared" si="288"/>
        <v>70.767560142781292</v>
      </c>
      <c r="H679" s="55">
        <f t="shared" si="288"/>
        <v>75.535995614373164</v>
      </c>
      <c r="I679" s="55">
        <f t="shared" si="288"/>
        <v>75.526902131458755</v>
      </c>
      <c r="J679" s="55">
        <f t="shared" si="288"/>
        <v>78.219766230283952</v>
      </c>
      <c r="K679" s="55">
        <f t="shared" si="288"/>
        <v>71.796199057009488</v>
      </c>
      <c r="L679" s="55">
        <f t="shared" si="288"/>
        <v>71.352184426962054</v>
      </c>
      <c r="M679" s="55">
        <f t="shared" si="288"/>
        <v>71.557859206610672</v>
      </c>
      <c r="N679" s="55">
        <f t="shared" si="288"/>
        <v>71.548799642902921</v>
      </c>
      <c r="O679" s="55">
        <f t="shared" si="288"/>
        <v>71.53964948355808</v>
      </c>
      <c r="P679" s="55">
        <f t="shared" si="288"/>
        <v>71.755408373918272</v>
      </c>
      <c r="Q679" s="55">
        <f t="shared" si="288"/>
        <v>69.618410418721098</v>
      </c>
      <c r="R679" s="55">
        <f t="shared" si="288"/>
        <v>69.154119524768262</v>
      </c>
      <c r="S679" s="55">
        <f t="shared" si="288"/>
        <v>69.144911734212641</v>
      </c>
      <c r="T679" s="55">
        <f t="shared" si="288"/>
        <v>89.078576827025955</v>
      </c>
      <c r="U679" s="55">
        <f t="shared" si="288"/>
        <v>0</v>
      </c>
      <c r="V679" s="55">
        <f t="shared" si="288"/>
        <v>0</v>
      </c>
      <c r="W679" s="55">
        <f t="shared" si="288"/>
        <v>0</v>
      </c>
      <c r="X679" s="55">
        <f t="shared" si="288"/>
        <v>0</v>
      </c>
      <c r="Y679" s="55">
        <f t="shared" si="288"/>
        <v>0</v>
      </c>
      <c r="Z679" s="55">
        <f t="shared" si="288"/>
        <v>0</v>
      </c>
      <c r="AA679" s="55">
        <f t="shared" si="288"/>
        <v>0</v>
      </c>
      <c r="AB679" s="55">
        <f t="shared" si="288"/>
        <v>0</v>
      </c>
      <c r="AC679" s="55">
        <f t="shared" si="288"/>
        <v>0</v>
      </c>
      <c r="AD679" s="55">
        <f t="shared" si="288"/>
        <v>0</v>
      </c>
    </row>
    <row r="680" spans="1:30" s="45" customFormat="1" outlineLevel="1">
      <c r="A680" s="41"/>
      <c r="C680" s="303"/>
      <c r="D680" s="42"/>
      <c r="E680" s="42"/>
      <c r="F680" s="42"/>
      <c r="G680" s="42"/>
      <c r="H680" s="42"/>
      <c r="I680" s="42"/>
      <c r="J680" s="42"/>
      <c r="K680" s="42"/>
      <c r="L680" s="42"/>
      <c r="M680" s="42"/>
      <c r="N680" s="42"/>
      <c r="O680" s="42"/>
      <c r="P680" s="42"/>
      <c r="Q680" s="42"/>
      <c r="R680" s="42"/>
      <c r="S680" s="42"/>
      <c r="T680" s="42"/>
      <c r="U680" s="42"/>
      <c r="V680" s="42"/>
      <c r="W680" s="42"/>
      <c r="X680" s="42"/>
      <c r="Y680" s="42"/>
      <c r="Z680" s="42"/>
      <c r="AA680" s="42"/>
      <c r="AB680" s="42"/>
      <c r="AC680" s="42"/>
      <c r="AD680" s="42"/>
    </row>
    <row r="681" spans="1:30" customFormat="1" ht="15.5" outlineLevel="1">
      <c r="A681" s="1" t="s">
        <v>165</v>
      </c>
      <c r="C681" s="3"/>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row>
    <row r="682" spans="1:30" s="45" customFormat="1" ht="15" customHeight="1" outlineLevel="1">
      <c r="A682" s="45" t="str">
        <f>A326</f>
        <v>moly revenue in A$</v>
      </c>
      <c r="B682" s="45" t="str">
        <f>B326</f>
        <v>A$ million Real</v>
      </c>
      <c r="C682" s="42">
        <f>SUM(D682:AD682)</f>
        <v>1485.8122160000003</v>
      </c>
      <c r="D682" s="42">
        <f t="shared" ref="D682:AD682" si="289">D326</f>
        <v>0</v>
      </c>
      <c r="E682" s="42">
        <f t="shared" si="289"/>
        <v>0</v>
      </c>
      <c r="F682" s="42">
        <f t="shared" si="289"/>
        <v>100.04448710059168</v>
      </c>
      <c r="G682" s="42">
        <f t="shared" si="289"/>
        <v>187.65920459171593</v>
      </c>
      <c r="H682" s="42">
        <f t="shared" si="289"/>
        <v>204.93961599999994</v>
      </c>
      <c r="I682" s="42">
        <f t="shared" si="289"/>
        <v>204.93961599999994</v>
      </c>
      <c r="J682" s="42">
        <f t="shared" si="289"/>
        <v>211.76083102958575</v>
      </c>
      <c r="K682" s="42">
        <f t="shared" si="289"/>
        <v>152.41626027218933</v>
      </c>
      <c r="L682" s="42">
        <f t="shared" si="289"/>
        <v>90.04003839053253</v>
      </c>
      <c r="M682" s="42">
        <f t="shared" si="289"/>
        <v>76.852356</v>
      </c>
      <c r="N682" s="42">
        <f t="shared" si="289"/>
        <v>76.852356</v>
      </c>
      <c r="O682" s="42">
        <f t="shared" si="289"/>
        <v>76.852356</v>
      </c>
      <c r="P682" s="42">
        <f t="shared" si="289"/>
        <v>103.45509461538461</v>
      </c>
      <c r="Q682" s="42">
        <f t="shared" si="289"/>
        <v>0</v>
      </c>
      <c r="R682" s="42">
        <f t="shared" si="289"/>
        <v>0</v>
      </c>
      <c r="S682" s="42">
        <f t="shared" si="289"/>
        <v>0</v>
      </c>
      <c r="T682" s="42">
        <f t="shared" si="289"/>
        <v>0</v>
      </c>
      <c r="U682" s="42">
        <f t="shared" si="289"/>
        <v>0</v>
      </c>
      <c r="V682" s="42">
        <f t="shared" si="289"/>
        <v>0</v>
      </c>
      <c r="W682" s="42">
        <f t="shared" si="289"/>
        <v>0</v>
      </c>
      <c r="X682" s="42">
        <f t="shared" si="289"/>
        <v>0</v>
      </c>
      <c r="Y682" s="42">
        <f t="shared" si="289"/>
        <v>0</v>
      </c>
      <c r="Z682" s="42">
        <f t="shared" si="289"/>
        <v>0</v>
      </c>
      <c r="AA682" s="42">
        <f t="shared" si="289"/>
        <v>0</v>
      </c>
      <c r="AB682" s="42">
        <f t="shared" si="289"/>
        <v>0</v>
      </c>
      <c r="AC682" s="42">
        <f t="shared" si="289"/>
        <v>0</v>
      </c>
      <c r="AD682" s="42">
        <f t="shared" si="289"/>
        <v>0</v>
      </c>
    </row>
    <row r="683" spans="1:30" ht="12.65" customHeight="1" outlineLevel="1">
      <c r="A683" s="247" t="str">
        <f>'Expected NPV &amp; Common Data'!A87</f>
        <v>State molybdenum royalty</v>
      </c>
      <c r="B683" s="247" t="str">
        <f>'Expected NPV &amp; Common Data'!B87</f>
        <v>%</v>
      </c>
      <c r="C683" s="262"/>
      <c r="D683" s="263">
        <f>'Expected NPV &amp; Common Data'!D87</f>
        <v>0.05</v>
      </c>
      <c r="E683" s="263">
        <f>'Expected NPV &amp; Common Data'!E87</f>
        <v>0.05</v>
      </c>
      <c r="F683" s="263">
        <f>'Expected NPV &amp; Common Data'!F87</f>
        <v>0.05</v>
      </c>
      <c r="G683" s="263">
        <f>'Expected NPV &amp; Common Data'!G87</f>
        <v>0.05</v>
      </c>
      <c r="H683" s="263">
        <f>'Expected NPV &amp; Common Data'!H87</f>
        <v>0.05</v>
      </c>
      <c r="I683" s="263">
        <f>'Expected NPV &amp; Common Data'!I87</f>
        <v>0.05</v>
      </c>
      <c r="J683" s="263">
        <f>'Expected NPV &amp; Common Data'!J87</f>
        <v>0.05</v>
      </c>
      <c r="K683" s="263">
        <f>'Expected NPV &amp; Common Data'!K87</f>
        <v>0.05</v>
      </c>
      <c r="L683" s="263">
        <f>'Expected NPV &amp; Common Data'!L87</f>
        <v>0.05</v>
      </c>
      <c r="M683" s="263">
        <f>'Expected NPV &amp; Common Data'!M87</f>
        <v>0.05</v>
      </c>
      <c r="N683" s="263">
        <f>'Expected NPV &amp; Common Data'!N87</f>
        <v>0.05</v>
      </c>
      <c r="O683" s="263">
        <f>'Expected NPV &amp; Common Data'!O87</f>
        <v>0.05</v>
      </c>
      <c r="P683" s="263">
        <f>'Expected NPV &amp; Common Data'!P87</f>
        <v>0.05</v>
      </c>
      <c r="Q683" s="263">
        <f>'Expected NPV &amp; Common Data'!Q87</f>
        <v>0.05</v>
      </c>
      <c r="R683" s="263">
        <f>'Expected NPV &amp; Common Data'!R87</f>
        <v>0.05</v>
      </c>
      <c r="S683" s="263">
        <f>'Expected NPV &amp; Common Data'!S87</f>
        <v>0.05</v>
      </c>
      <c r="T683" s="263">
        <f>'Expected NPV &amp; Common Data'!T87</f>
        <v>0.05</v>
      </c>
      <c r="U683" s="263">
        <f>'Expected NPV &amp; Common Data'!U87</f>
        <v>0.05</v>
      </c>
      <c r="V683" s="263">
        <f>'Expected NPV &amp; Common Data'!V87</f>
        <v>0.05</v>
      </c>
      <c r="W683" s="263">
        <f>'Expected NPV &amp; Common Data'!W87</f>
        <v>0.05</v>
      </c>
      <c r="X683" s="263">
        <f>'Expected NPV &amp; Common Data'!X87</f>
        <v>0.05</v>
      </c>
      <c r="Y683" s="263">
        <f>'Expected NPV &amp; Common Data'!Y87</f>
        <v>0.05</v>
      </c>
      <c r="Z683" s="263">
        <f>'Expected NPV &amp; Common Data'!Z87</f>
        <v>0.05</v>
      </c>
      <c r="AA683" s="263">
        <f>'Expected NPV &amp; Common Data'!AA87</f>
        <v>0.05</v>
      </c>
      <c r="AB683" s="263">
        <f>'Expected NPV &amp; Common Data'!AB87</f>
        <v>0.05</v>
      </c>
      <c r="AC683" s="263">
        <f>'Expected NPV &amp; Common Data'!AC87</f>
        <v>0.05</v>
      </c>
      <c r="AD683" s="263">
        <f>'Expected NPV &amp; Common Data'!AD87</f>
        <v>0.05</v>
      </c>
    </row>
    <row r="684" spans="1:30" s="45" customFormat="1" outlineLevel="1">
      <c r="A684" s="59" t="s">
        <v>139</v>
      </c>
      <c r="B684" s="45" t="s">
        <v>284</v>
      </c>
      <c r="C684" s="44">
        <f>SUM(D684:AD684)</f>
        <v>74.290610799999982</v>
      </c>
      <c r="D684" s="68">
        <f>D682*D683</f>
        <v>0</v>
      </c>
      <c r="E684" s="68">
        <f t="shared" ref="E684:AD684" si="290">E682*E683</f>
        <v>0</v>
      </c>
      <c r="F684" s="68">
        <f t="shared" si="290"/>
        <v>5.0022243550295844</v>
      </c>
      <c r="G684" s="68">
        <f t="shared" si="290"/>
        <v>9.3829602295857963</v>
      </c>
      <c r="H684" s="68">
        <f t="shared" si="290"/>
        <v>10.246980799999998</v>
      </c>
      <c r="I684" s="68">
        <f t="shared" si="290"/>
        <v>10.246980799999998</v>
      </c>
      <c r="J684" s="68">
        <f t="shared" si="290"/>
        <v>10.588041551479288</v>
      </c>
      <c r="K684" s="68">
        <f t="shared" si="290"/>
        <v>7.6208130136094674</v>
      </c>
      <c r="L684" s="68">
        <f t="shared" si="290"/>
        <v>4.5020019195266263</v>
      </c>
      <c r="M684" s="68">
        <f t="shared" si="290"/>
        <v>3.8426178000000002</v>
      </c>
      <c r="N684" s="68">
        <f t="shared" si="290"/>
        <v>3.8426178000000002</v>
      </c>
      <c r="O684" s="68">
        <f t="shared" si="290"/>
        <v>3.8426178000000002</v>
      </c>
      <c r="P684" s="68">
        <f t="shared" si="290"/>
        <v>5.1727547307692312</v>
      </c>
      <c r="Q684" s="68">
        <f t="shared" si="290"/>
        <v>0</v>
      </c>
      <c r="R684" s="68">
        <f t="shared" si="290"/>
        <v>0</v>
      </c>
      <c r="S684" s="68">
        <f t="shared" si="290"/>
        <v>0</v>
      </c>
      <c r="T684" s="68">
        <f t="shared" si="290"/>
        <v>0</v>
      </c>
      <c r="U684" s="68">
        <f t="shared" si="290"/>
        <v>0</v>
      </c>
      <c r="V684" s="68">
        <f t="shared" si="290"/>
        <v>0</v>
      </c>
      <c r="W684" s="68">
        <f t="shared" si="290"/>
        <v>0</v>
      </c>
      <c r="X684" s="68">
        <f t="shared" si="290"/>
        <v>0</v>
      </c>
      <c r="Y684" s="68">
        <f t="shared" si="290"/>
        <v>0</v>
      </c>
      <c r="Z684" s="68">
        <f t="shared" si="290"/>
        <v>0</v>
      </c>
      <c r="AA684" s="68">
        <f t="shared" si="290"/>
        <v>0</v>
      </c>
      <c r="AB684" s="68">
        <f t="shared" si="290"/>
        <v>0</v>
      </c>
      <c r="AC684" s="68">
        <f t="shared" si="290"/>
        <v>0</v>
      </c>
      <c r="AD684" s="68">
        <f t="shared" si="290"/>
        <v>0</v>
      </c>
    </row>
    <row r="685" spans="1:30" s="45" customFormat="1" outlineLevel="1">
      <c r="A685" s="41"/>
      <c r="C685" s="303"/>
      <c r="D685" s="42"/>
      <c r="E685" s="42"/>
      <c r="F685" s="42"/>
      <c r="G685" s="42"/>
      <c r="H685" s="42"/>
      <c r="I685" s="42"/>
      <c r="J685" s="42"/>
      <c r="K685" s="42"/>
      <c r="L685" s="42"/>
      <c r="M685" s="42"/>
      <c r="N685" s="42"/>
      <c r="O685" s="42"/>
      <c r="P685" s="42"/>
      <c r="Q685" s="42"/>
      <c r="R685" s="42"/>
      <c r="S685" s="42"/>
      <c r="T685" s="42"/>
      <c r="U685" s="42"/>
      <c r="V685" s="42"/>
      <c r="W685" s="42"/>
      <c r="X685" s="42"/>
      <c r="Y685" s="42"/>
      <c r="Z685" s="42"/>
      <c r="AA685" s="42"/>
      <c r="AB685" s="42"/>
      <c r="AC685" s="42"/>
      <c r="AD685" s="42"/>
    </row>
    <row r="686" spans="1:30" customFormat="1" ht="15.5" outlineLevel="1">
      <c r="A686" s="1" t="s">
        <v>166</v>
      </c>
      <c r="C686" s="3"/>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row>
    <row r="687" spans="1:30" s="45" customFormat="1" outlineLevel="1">
      <c r="A687" s="45" t="str">
        <f>A324</f>
        <v>gold revenue after TC/RC in A$</v>
      </c>
      <c r="B687" s="45" t="str">
        <f>B324</f>
        <v>A$ million Real</v>
      </c>
      <c r="C687" s="42">
        <f>SUM(D687:AD687)</f>
        <v>1534.1574929400711</v>
      </c>
      <c r="D687" s="42">
        <f t="shared" ref="D687:AD687" si="291">D324</f>
        <v>0</v>
      </c>
      <c r="E687" s="42">
        <f t="shared" si="291"/>
        <v>0</v>
      </c>
      <c r="F687" s="42">
        <f t="shared" si="291"/>
        <v>60.224105465603735</v>
      </c>
      <c r="G687" s="42">
        <f t="shared" si="291"/>
        <v>107.50363576065837</v>
      </c>
      <c r="H687" s="42">
        <f t="shared" si="291"/>
        <v>114.76108610217932</v>
      </c>
      <c r="I687" s="42">
        <f t="shared" si="291"/>
        <v>114.76108610217932</v>
      </c>
      <c r="J687" s="42">
        <f t="shared" si="291"/>
        <v>118.86727511119776</v>
      </c>
      <c r="K687" s="42">
        <f t="shared" si="291"/>
        <v>105.62468533970288</v>
      </c>
      <c r="L687" s="42">
        <f t="shared" si="291"/>
        <v>101.41497280040839</v>
      </c>
      <c r="M687" s="42">
        <f t="shared" si="291"/>
        <v>101.72005359056804</v>
      </c>
      <c r="N687" s="42">
        <f t="shared" si="291"/>
        <v>101.72005359056804</v>
      </c>
      <c r="O687" s="42">
        <f t="shared" si="291"/>
        <v>101.72005359056804</v>
      </c>
      <c r="P687" s="42">
        <f t="shared" si="291"/>
        <v>102.55558697952141</v>
      </c>
      <c r="Q687" s="42">
        <f t="shared" si="291"/>
        <v>94.51337488584258</v>
      </c>
      <c r="R687" s="42">
        <f t="shared" si="291"/>
        <v>93.895434083601288</v>
      </c>
      <c r="S687" s="42">
        <f t="shared" si="291"/>
        <v>93.895434083601288</v>
      </c>
      <c r="T687" s="42">
        <f t="shared" si="291"/>
        <v>120.98065545387092</v>
      </c>
      <c r="U687" s="42">
        <f t="shared" si="291"/>
        <v>0</v>
      </c>
      <c r="V687" s="42">
        <f t="shared" si="291"/>
        <v>0</v>
      </c>
      <c r="W687" s="42">
        <f t="shared" si="291"/>
        <v>0</v>
      </c>
      <c r="X687" s="42">
        <f t="shared" si="291"/>
        <v>0</v>
      </c>
      <c r="Y687" s="42">
        <f t="shared" si="291"/>
        <v>0</v>
      </c>
      <c r="Z687" s="42">
        <f t="shared" si="291"/>
        <v>0</v>
      </c>
      <c r="AA687" s="42">
        <f t="shared" si="291"/>
        <v>0</v>
      </c>
      <c r="AB687" s="42">
        <f t="shared" si="291"/>
        <v>0</v>
      </c>
      <c r="AC687" s="42">
        <f t="shared" si="291"/>
        <v>0</v>
      </c>
      <c r="AD687" s="42">
        <f t="shared" si="291"/>
        <v>0</v>
      </c>
    </row>
    <row r="688" spans="1:30" outlineLevel="1">
      <c r="A688" s="247" t="str">
        <f>'Expected NPV &amp; Common Data'!A90</f>
        <v>State gold royalty</v>
      </c>
      <c r="B688" s="247" t="str">
        <f>'Expected NPV &amp; Common Data'!B90</f>
        <v>%</v>
      </c>
      <c r="C688" s="262"/>
      <c r="D688" s="263">
        <f>'Expected NPV &amp; Common Data'!D90</f>
        <v>0.05</v>
      </c>
      <c r="E688" s="263">
        <f>'Expected NPV &amp; Common Data'!E90</f>
        <v>0.05</v>
      </c>
      <c r="F688" s="263">
        <f>'Expected NPV &amp; Common Data'!F90</f>
        <v>0.05</v>
      </c>
      <c r="G688" s="263">
        <f>'Expected NPV &amp; Common Data'!G90</f>
        <v>0.05</v>
      </c>
      <c r="H688" s="263">
        <f>'Expected NPV &amp; Common Data'!H90</f>
        <v>0.05</v>
      </c>
      <c r="I688" s="263">
        <f>'Expected NPV &amp; Common Data'!I90</f>
        <v>0.05</v>
      </c>
      <c r="J688" s="263">
        <f>'Expected NPV &amp; Common Data'!J90</f>
        <v>0.05</v>
      </c>
      <c r="K688" s="263">
        <f>'Expected NPV &amp; Common Data'!K90</f>
        <v>0.05</v>
      </c>
      <c r="L688" s="263">
        <f>'Expected NPV &amp; Common Data'!L90</f>
        <v>0.05</v>
      </c>
      <c r="M688" s="263">
        <f>'Expected NPV &amp; Common Data'!M90</f>
        <v>0.05</v>
      </c>
      <c r="N688" s="263">
        <f>'Expected NPV &amp; Common Data'!N90</f>
        <v>0.05</v>
      </c>
      <c r="O688" s="263">
        <f>'Expected NPV &amp; Common Data'!O90</f>
        <v>0.05</v>
      </c>
      <c r="P688" s="263">
        <f>'Expected NPV &amp; Common Data'!P90</f>
        <v>0.05</v>
      </c>
      <c r="Q688" s="263">
        <f>'Expected NPV &amp; Common Data'!Q90</f>
        <v>0.05</v>
      </c>
      <c r="R688" s="263">
        <f>'Expected NPV &amp; Common Data'!R90</f>
        <v>0.05</v>
      </c>
      <c r="S688" s="263">
        <f>'Expected NPV &amp; Common Data'!S90</f>
        <v>0.05</v>
      </c>
      <c r="T688" s="263">
        <f>'Expected NPV &amp; Common Data'!T90</f>
        <v>0.05</v>
      </c>
      <c r="U688" s="263">
        <f>'Expected NPV &amp; Common Data'!U90</f>
        <v>0.05</v>
      </c>
      <c r="V688" s="263">
        <f>'Expected NPV &amp; Common Data'!V90</f>
        <v>0.05</v>
      </c>
      <c r="W688" s="263">
        <f>'Expected NPV &amp; Common Data'!W90</f>
        <v>0.05</v>
      </c>
      <c r="X688" s="263">
        <f>'Expected NPV &amp; Common Data'!X90</f>
        <v>0.05</v>
      </c>
      <c r="Y688" s="263">
        <f>'Expected NPV &amp; Common Data'!Y90</f>
        <v>0.05</v>
      </c>
      <c r="Z688" s="263">
        <f>'Expected NPV &amp; Common Data'!Z90</f>
        <v>0.05</v>
      </c>
      <c r="AA688" s="263">
        <f>'Expected NPV &amp; Common Data'!AA90</f>
        <v>0.05</v>
      </c>
      <c r="AB688" s="263">
        <f>'Expected NPV &amp; Common Data'!AB90</f>
        <v>0.05</v>
      </c>
      <c r="AC688" s="263">
        <f>'Expected NPV &amp; Common Data'!AC90</f>
        <v>0.05</v>
      </c>
      <c r="AD688" s="263">
        <f>'Expected NPV &amp; Common Data'!AD90</f>
        <v>0.05</v>
      </c>
    </row>
    <row r="689" spans="1:30" s="45" customFormat="1" outlineLevel="1">
      <c r="A689" s="59" t="s">
        <v>140</v>
      </c>
      <c r="B689" s="45" t="s">
        <v>284</v>
      </c>
      <c r="C689" s="44">
        <f>SUM(D689:AD689)</f>
        <v>76.707874647003592</v>
      </c>
      <c r="D689" s="68">
        <f>D687*D688</f>
        <v>0</v>
      </c>
      <c r="E689" s="68">
        <f t="shared" ref="E689:AD689" si="292">E687*E688</f>
        <v>0</v>
      </c>
      <c r="F689" s="68">
        <f t="shared" si="292"/>
        <v>3.0112052732801868</v>
      </c>
      <c r="G689" s="68">
        <f t="shared" si="292"/>
        <v>5.3751817880329185</v>
      </c>
      <c r="H689" s="68">
        <f t="shared" si="292"/>
        <v>5.7380543051089665</v>
      </c>
      <c r="I689" s="68">
        <f t="shared" si="292"/>
        <v>5.7380543051089665</v>
      </c>
      <c r="J689" s="68">
        <f t="shared" si="292"/>
        <v>5.9433637555598882</v>
      </c>
      <c r="K689" s="68">
        <f t="shared" si="292"/>
        <v>5.2812342669851446</v>
      </c>
      <c r="L689" s="68">
        <f t="shared" si="292"/>
        <v>5.0707486400204198</v>
      </c>
      <c r="M689" s="68">
        <f t="shared" si="292"/>
        <v>5.0860026795284021</v>
      </c>
      <c r="N689" s="68">
        <f t="shared" si="292"/>
        <v>5.0860026795284021</v>
      </c>
      <c r="O689" s="68">
        <f t="shared" si="292"/>
        <v>5.0860026795284021</v>
      </c>
      <c r="P689" s="68">
        <f t="shared" si="292"/>
        <v>5.1277793489760706</v>
      </c>
      <c r="Q689" s="68">
        <f t="shared" si="292"/>
        <v>4.725668744292129</v>
      </c>
      <c r="R689" s="68">
        <f t="shared" si="292"/>
        <v>4.6947717041800647</v>
      </c>
      <c r="S689" s="68">
        <f t="shared" si="292"/>
        <v>4.6947717041800647</v>
      </c>
      <c r="T689" s="68">
        <f t="shared" si="292"/>
        <v>6.0490327726935469</v>
      </c>
      <c r="U689" s="68">
        <f t="shared" si="292"/>
        <v>0</v>
      </c>
      <c r="V689" s="68">
        <f t="shared" si="292"/>
        <v>0</v>
      </c>
      <c r="W689" s="68">
        <f t="shared" si="292"/>
        <v>0</v>
      </c>
      <c r="X689" s="68">
        <f t="shared" si="292"/>
        <v>0</v>
      </c>
      <c r="Y689" s="68">
        <f t="shared" si="292"/>
        <v>0</v>
      </c>
      <c r="Z689" s="68">
        <f t="shared" si="292"/>
        <v>0</v>
      </c>
      <c r="AA689" s="68">
        <f t="shared" si="292"/>
        <v>0</v>
      </c>
      <c r="AB689" s="68">
        <f t="shared" si="292"/>
        <v>0</v>
      </c>
      <c r="AC689" s="68">
        <f t="shared" si="292"/>
        <v>0</v>
      </c>
      <c r="AD689" s="68">
        <f t="shared" si="292"/>
        <v>0</v>
      </c>
    </row>
    <row r="690" spans="1:30" s="45" customFormat="1" outlineLevel="1">
      <c r="A690" s="41"/>
      <c r="C690" s="303"/>
      <c r="D690" s="42"/>
      <c r="E690" s="42"/>
      <c r="F690" s="42"/>
      <c r="G690" s="42"/>
      <c r="H690" s="42"/>
      <c r="I690" s="42"/>
      <c r="J690" s="42"/>
      <c r="K690" s="42"/>
      <c r="L690" s="42"/>
      <c r="M690" s="42"/>
      <c r="N690" s="42"/>
      <c r="O690" s="42"/>
      <c r="P690" s="42"/>
      <c r="Q690" s="42"/>
      <c r="R690" s="42"/>
      <c r="S690" s="42"/>
      <c r="T690" s="42"/>
      <c r="U690" s="42"/>
      <c r="V690" s="42"/>
      <c r="W690" s="42"/>
      <c r="X690" s="42"/>
      <c r="Y690" s="42"/>
      <c r="Z690" s="42"/>
      <c r="AA690" s="42"/>
      <c r="AB690" s="42"/>
      <c r="AC690" s="42"/>
      <c r="AD690" s="42"/>
    </row>
    <row r="691" spans="1:30" customFormat="1" ht="15.5" outlineLevel="1">
      <c r="A691" s="1" t="s">
        <v>167</v>
      </c>
      <c r="C691" s="3"/>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row>
    <row r="692" spans="1:30" s="45" customFormat="1" outlineLevel="1">
      <c r="A692" s="45" t="str">
        <f>A325</f>
        <v>silver revenue after TC/RC in A$</v>
      </c>
      <c r="B692" s="45" t="str">
        <f>B325</f>
        <v>A$ million Real</v>
      </c>
      <c r="C692" s="42">
        <f>SUM(D692:AD692)</f>
        <v>15.82591474602258</v>
      </c>
      <c r="D692" s="56">
        <f t="shared" ref="D692:AD692" si="293">D325</f>
        <v>0</v>
      </c>
      <c r="E692" s="56">
        <f t="shared" si="293"/>
        <v>0</v>
      </c>
      <c r="F692" s="56">
        <f t="shared" si="293"/>
        <v>1.7728934835546823</v>
      </c>
      <c r="G692" s="56">
        <f t="shared" si="293"/>
        <v>3.164721066838625</v>
      </c>
      <c r="H692" s="56">
        <f t="shared" si="293"/>
        <v>3.3783678502691048</v>
      </c>
      <c r="I692" s="56">
        <f t="shared" si="293"/>
        <v>3.3783678502691048</v>
      </c>
      <c r="J692" s="56">
        <f t="shared" si="293"/>
        <v>3.4992469514205617</v>
      </c>
      <c r="K692" s="56">
        <f t="shared" si="293"/>
        <v>0.63231754367050064</v>
      </c>
      <c r="L692" s="56">
        <f t="shared" si="293"/>
        <v>0</v>
      </c>
      <c r="M692" s="56">
        <f t="shared" si="293"/>
        <v>0</v>
      </c>
      <c r="N692" s="56">
        <f t="shared" si="293"/>
        <v>0</v>
      </c>
      <c r="O692" s="56">
        <f t="shared" si="293"/>
        <v>0</v>
      </c>
      <c r="P692" s="56">
        <f t="shared" si="293"/>
        <v>0</v>
      </c>
      <c r="Q692" s="56">
        <f t="shared" si="293"/>
        <v>0</v>
      </c>
      <c r="R692" s="56">
        <f t="shared" si="293"/>
        <v>0</v>
      </c>
      <c r="S692" s="56">
        <f t="shared" si="293"/>
        <v>0</v>
      </c>
      <c r="T692" s="56">
        <f t="shared" si="293"/>
        <v>0</v>
      </c>
      <c r="U692" s="56">
        <f t="shared" si="293"/>
        <v>0</v>
      </c>
      <c r="V692" s="56">
        <f t="shared" si="293"/>
        <v>0</v>
      </c>
      <c r="W692" s="56">
        <f t="shared" si="293"/>
        <v>0</v>
      </c>
      <c r="X692" s="56">
        <f t="shared" si="293"/>
        <v>0</v>
      </c>
      <c r="Y692" s="56">
        <f t="shared" si="293"/>
        <v>0</v>
      </c>
      <c r="Z692" s="56">
        <f t="shared" si="293"/>
        <v>0</v>
      </c>
      <c r="AA692" s="56">
        <f t="shared" si="293"/>
        <v>0</v>
      </c>
      <c r="AB692" s="56">
        <f t="shared" si="293"/>
        <v>0</v>
      </c>
      <c r="AC692" s="56">
        <f t="shared" si="293"/>
        <v>0</v>
      </c>
      <c r="AD692" s="56">
        <f t="shared" si="293"/>
        <v>0</v>
      </c>
    </row>
    <row r="693" spans="1:30" outlineLevel="1">
      <c r="A693" s="247" t="str">
        <f>'Expected NPV &amp; Common Data'!A93</f>
        <v>State silver royalty</v>
      </c>
      <c r="B693" s="247" t="str">
        <f>'Expected NPV &amp; Common Data'!B93</f>
        <v>%</v>
      </c>
      <c r="C693" s="262"/>
      <c r="D693" s="263">
        <f>'Expected NPV &amp; Common Data'!D93</f>
        <v>0.03</v>
      </c>
      <c r="E693" s="263">
        <f>'Expected NPV &amp; Common Data'!E93</f>
        <v>0.03</v>
      </c>
      <c r="F693" s="263">
        <f>'Expected NPV &amp; Common Data'!F93</f>
        <v>0.03</v>
      </c>
      <c r="G693" s="263">
        <f>'Expected NPV &amp; Common Data'!G93</f>
        <v>0.03</v>
      </c>
      <c r="H693" s="263">
        <f>'Expected NPV &amp; Common Data'!H93</f>
        <v>0.03</v>
      </c>
      <c r="I693" s="263">
        <f>'Expected NPV &amp; Common Data'!I93</f>
        <v>0.03</v>
      </c>
      <c r="J693" s="263">
        <f>'Expected NPV &amp; Common Data'!J93</f>
        <v>0.03</v>
      </c>
      <c r="K693" s="263">
        <f>'Expected NPV &amp; Common Data'!K93</f>
        <v>0.03</v>
      </c>
      <c r="L693" s="263">
        <f>'Expected NPV &amp; Common Data'!L93</f>
        <v>0.03</v>
      </c>
      <c r="M693" s="263">
        <f>'Expected NPV &amp; Common Data'!M93</f>
        <v>0.03</v>
      </c>
      <c r="N693" s="263">
        <f>'Expected NPV &amp; Common Data'!N93</f>
        <v>0.03</v>
      </c>
      <c r="O693" s="263">
        <f>'Expected NPV &amp; Common Data'!O93</f>
        <v>0.03</v>
      </c>
      <c r="P693" s="263">
        <f>'Expected NPV &amp; Common Data'!P93</f>
        <v>0.03</v>
      </c>
      <c r="Q693" s="263">
        <f>'Expected NPV &amp; Common Data'!Q93</f>
        <v>0.03</v>
      </c>
      <c r="R693" s="263">
        <f>'Expected NPV &amp; Common Data'!R93</f>
        <v>0.03</v>
      </c>
      <c r="S693" s="263">
        <f>'Expected NPV &amp; Common Data'!S93</f>
        <v>0.03</v>
      </c>
      <c r="T693" s="263">
        <f>'Expected NPV &amp; Common Data'!T93</f>
        <v>0.03</v>
      </c>
      <c r="U693" s="263">
        <f>'Expected NPV &amp; Common Data'!U93</f>
        <v>0.03</v>
      </c>
      <c r="V693" s="263">
        <f>'Expected NPV &amp; Common Data'!V93</f>
        <v>0.03</v>
      </c>
      <c r="W693" s="263">
        <f>'Expected NPV &amp; Common Data'!W93</f>
        <v>0.03</v>
      </c>
      <c r="X693" s="263">
        <f>'Expected NPV &amp; Common Data'!X93</f>
        <v>0.03</v>
      </c>
      <c r="Y693" s="263">
        <f>'Expected NPV &amp; Common Data'!Y93</f>
        <v>0.03</v>
      </c>
      <c r="Z693" s="263">
        <f>'Expected NPV &amp; Common Data'!Z93</f>
        <v>0.03</v>
      </c>
      <c r="AA693" s="263">
        <f>'Expected NPV &amp; Common Data'!AA93</f>
        <v>0.03</v>
      </c>
      <c r="AB693" s="263">
        <f>'Expected NPV &amp; Common Data'!AB93</f>
        <v>0.03</v>
      </c>
      <c r="AC693" s="263">
        <f>'Expected NPV &amp; Common Data'!AC93</f>
        <v>0.03</v>
      </c>
      <c r="AD693" s="263">
        <f>'Expected NPV &amp; Common Data'!AD93</f>
        <v>0.03</v>
      </c>
    </row>
    <row r="694" spans="1:30" s="45" customFormat="1" outlineLevel="1">
      <c r="A694" s="59" t="s">
        <v>141</v>
      </c>
      <c r="B694" s="45" t="s">
        <v>284</v>
      </c>
      <c r="C694" s="44">
        <f>SUM(D694:AD694)</f>
        <v>0.47477744238067737</v>
      </c>
      <c r="D694" s="68">
        <f>D692*D693</f>
        <v>0</v>
      </c>
      <c r="E694" s="68">
        <f t="shared" ref="E694:AD694" si="294">E692*E693</f>
        <v>0</v>
      </c>
      <c r="F694" s="68">
        <f t="shared" si="294"/>
        <v>5.318680450664047E-2</v>
      </c>
      <c r="G694" s="68">
        <f t="shared" si="294"/>
        <v>9.4941632005158746E-2</v>
      </c>
      <c r="H694" s="68">
        <f t="shared" si="294"/>
        <v>0.10135103550807315</v>
      </c>
      <c r="I694" s="68">
        <f t="shared" si="294"/>
        <v>0.10135103550807315</v>
      </c>
      <c r="J694" s="68">
        <f t="shared" si="294"/>
        <v>0.10497740854261685</v>
      </c>
      <c r="K694" s="68">
        <f t="shared" si="294"/>
        <v>1.8969526310115017E-2</v>
      </c>
      <c r="L694" s="68">
        <f t="shared" si="294"/>
        <v>0</v>
      </c>
      <c r="M694" s="68">
        <f t="shared" si="294"/>
        <v>0</v>
      </c>
      <c r="N694" s="68">
        <f t="shared" si="294"/>
        <v>0</v>
      </c>
      <c r="O694" s="68">
        <f t="shared" si="294"/>
        <v>0</v>
      </c>
      <c r="P694" s="68">
        <f t="shared" si="294"/>
        <v>0</v>
      </c>
      <c r="Q694" s="68">
        <f t="shared" si="294"/>
        <v>0</v>
      </c>
      <c r="R694" s="68">
        <f t="shared" si="294"/>
        <v>0</v>
      </c>
      <c r="S694" s="68">
        <f t="shared" si="294"/>
        <v>0</v>
      </c>
      <c r="T694" s="68">
        <f t="shared" si="294"/>
        <v>0</v>
      </c>
      <c r="U694" s="68">
        <f t="shared" si="294"/>
        <v>0</v>
      </c>
      <c r="V694" s="68">
        <f t="shared" si="294"/>
        <v>0</v>
      </c>
      <c r="W694" s="68">
        <f t="shared" si="294"/>
        <v>0</v>
      </c>
      <c r="X694" s="68">
        <f t="shared" si="294"/>
        <v>0</v>
      </c>
      <c r="Y694" s="68">
        <f t="shared" si="294"/>
        <v>0</v>
      </c>
      <c r="Z694" s="68">
        <f t="shared" si="294"/>
        <v>0</v>
      </c>
      <c r="AA694" s="68">
        <f t="shared" si="294"/>
        <v>0</v>
      </c>
      <c r="AB694" s="68">
        <f t="shared" si="294"/>
        <v>0</v>
      </c>
      <c r="AC694" s="68">
        <f t="shared" si="294"/>
        <v>0</v>
      </c>
      <c r="AD694" s="68">
        <f t="shared" si="294"/>
        <v>0</v>
      </c>
    </row>
    <row r="695" spans="1:30" s="45" customFormat="1" ht="18.5" outlineLevel="1">
      <c r="A695" s="95"/>
      <c r="B695" s="96"/>
      <c r="C695" s="304"/>
      <c r="D695" s="42"/>
      <c r="E695" s="42"/>
      <c r="F695" s="42"/>
      <c r="G695" s="42"/>
      <c r="H695" s="42"/>
      <c r="I695" s="42"/>
      <c r="J695" s="42"/>
      <c r="K695" s="42"/>
      <c r="L695" s="42"/>
      <c r="M695" s="42"/>
      <c r="N695" s="42"/>
      <c r="O695" s="42"/>
      <c r="P695" s="42"/>
      <c r="Q695" s="42"/>
      <c r="R695" s="42"/>
      <c r="S695" s="42"/>
      <c r="T695" s="42"/>
      <c r="U695" s="42"/>
      <c r="V695" s="42"/>
      <c r="W695" s="42"/>
      <c r="X695" s="42"/>
      <c r="Y695" s="42"/>
      <c r="Z695" s="42"/>
      <c r="AA695" s="42"/>
      <c r="AB695" s="42"/>
      <c r="AC695" s="42"/>
      <c r="AD695" s="42"/>
    </row>
    <row r="696" spans="1:30" s="45" customFormat="1" ht="15.5" outlineLevel="1">
      <c r="A696" s="82" t="s">
        <v>401</v>
      </c>
      <c r="B696" s="13" t="s">
        <v>284</v>
      </c>
      <c r="C696" s="44">
        <f>SUM(D696:AD696)</f>
        <v>1217.71864530066</v>
      </c>
      <c r="D696" s="83">
        <f t="shared" ref="D696:AD696" si="295">D679+D684+D689+D694</f>
        <v>0</v>
      </c>
      <c r="E696" s="83">
        <f t="shared" si="295"/>
        <v>0</v>
      </c>
      <c r="F696" s="83">
        <f t="shared" si="295"/>
        <v>47.715656029505325</v>
      </c>
      <c r="G696" s="83">
        <f t="shared" si="295"/>
        <v>85.620643792405161</v>
      </c>
      <c r="H696" s="83">
        <f t="shared" si="295"/>
        <v>91.622381754990201</v>
      </c>
      <c r="I696" s="83">
        <f t="shared" si="295"/>
        <v>91.613288272075792</v>
      </c>
      <c r="J696" s="83">
        <f t="shared" si="295"/>
        <v>94.856148945865755</v>
      </c>
      <c r="K696" s="83">
        <f t="shared" si="295"/>
        <v>84.71721586391422</v>
      </c>
      <c r="L696" s="83">
        <f t="shared" si="295"/>
        <v>80.924934986509101</v>
      </c>
      <c r="M696" s="83">
        <f t="shared" si="295"/>
        <v>80.486479686139077</v>
      </c>
      <c r="N696" s="83">
        <f t="shared" si="295"/>
        <v>80.477420122431326</v>
      </c>
      <c r="O696" s="83">
        <f t="shared" si="295"/>
        <v>80.468269963086485</v>
      </c>
      <c r="P696" s="83">
        <f t="shared" si="295"/>
        <v>82.055942453663576</v>
      </c>
      <c r="Q696" s="83">
        <f t="shared" si="295"/>
        <v>74.34407916301322</v>
      </c>
      <c r="R696" s="83">
        <f t="shared" si="295"/>
        <v>73.848891228948332</v>
      </c>
      <c r="S696" s="83">
        <f t="shared" si="295"/>
        <v>73.839683438392711</v>
      </c>
      <c r="T696" s="83">
        <f t="shared" si="295"/>
        <v>95.127609599719506</v>
      </c>
      <c r="U696" s="83">
        <f t="shared" si="295"/>
        <v>0</v>
      </c>
      <c r="V696" s="83">
        <f t="shared" si="295"/>
        <v>0</v>
      </c>
      <c r="W696" s="83">
        <f t="shared" si="295"/>
        <v>0</v>
      </c>
      <c r="X696" s="83">
        <f t="shared" si="295"/>
        <v>0</v>
      </c>
      <c r="Y696" s="83">
        <f t="shared" si="295"/>
        <v>0</v>
      </c>
      <c r="Z696" s="83">
        <f t="shared" si="295"/>
        <v>0</v>
      </c>
      <c r="AA696" s="83">
        <f t="shared" si="295"/>
        <v>0</v>
      </c>
      <c r="AB696" s="83">
        <f t="shared" si="295"/>
        <v>0</v>
      </c>
      <c r="AC696" s="83">
        <f t="shared" si="295"/>
        <v>0</v>
      </c>
      <c r="AD696" s="83">
        <f t="shared" si="295"/>
        <v>0</v>
      </c>
    </row>
    <row r="697" spans="1:30" outlineLevel="1">
      <c r="A697" s="144" t="str">
        <f>A$98</f>
        <v>Forex: A$ = US$  - High Case</v>
      </c>
      <c r="B697" s="142" t="str">
        <f>B$98</f>
        <v>A$1.00 = US$ ....</v>
      </c>
      <c r="C697" s="57"/>
      <c r="D697" s="57">
        <f t="shared" ref="D697:AD697" si="296">D$98</f>
        <v>0.9</v>
      </c>
      <c r="E697" s="57">
        <f t="shared" si="296"/>
        <v>0.9</v>
      </c>
      <c r="F697" s="57">
        <f t="shared" si="296"/>
        <v>0.9</v>
      </c>
      <c r="G697" s="57">
        <f t="shared" si="296"/>
        <v>0.9</v>
      </c>
      <c r="H697" s="57">
        <f t="shared" si="296"/>
        <v>0.9</v>
      </c>
      <c r="I697" s="57">
        <f t="shared" si="296"/>
        <v>0.9</v>
      </c>
      <c r="J697" s="57">
        <f t="shared" si="296"/>
        <v>0.9</v>
      </c>
      <c r="K697" s="57">
        <f t="shared" si="296"/>
        <v>0.9</v>
      </c>
      <c r="L697" s="57">
        <f t="shared" si="296"/>
        <v>0.9</v>
      </c>
      <c r="M697" s="57">
        <f t="shared" si="296"/>
        <v>0.9</v>
      </c>
      <c r="N697" s="57">
        <f t="shared" si="296"/>
        <v>0.9</v>
      </c>
      <c r="O697" s="57">
        <f t="shared" si="296"/>
        <v>0.9</v>
      </c>
      <c r="P697" s="57">
        <f t="shared" si="296"/>
        <v>0.9</v>
      </c>
      <c r="Q697" s="57">
        <f t="shared" si="296"/>
        <v>0.9</v>
      </c>
      <c r="R697" s="57">
        <f t="shared" si="296"/>
        <v>0.9</v>
      </c>
      <c r="S697" s="57">
        <f t="shared" si="296"/>
        <v>0.9</v>
      </c>
      <c r="T697" s="57">
        <f t="shared" si="296"/>
        <v>0.9</v>
      </c>
      <c r="U697" s="57">
        <f t="shared" si="296"/>
        <v>0.9</v>
      </c>
      <c r="V697" s="57">
        <f t="shared" si="296"/>
        <v>0.9</v>
      </c>
      <c r="W697" s="57">
        <f t="shared" si="296"/>
        <v>0.9</v>
      </c>
      <c r="X697" s="57">
        <f t="shared" si="296"/>
        <v>0.9</v>
      </c>
      <c r="Y697" s="57">
        <f t="shared" si="296"/>
        <v>0.9</v>
      </c>
      <c r="Z697" s="57">
        <f t="shared" si="296"/>
        <v>0.9</v>
      </c>
      <c r="AA697" s="57">
        <f t="shared" si="296"/>
        <v>0.9</v>
      </c>
      <c r="AB697" s="57">
        <f t="shared" si="296"/>
        <v>0.9</v>
      </c>
      <c r="AC697" s="57">
        <f t="shared" si="296"/>
        <v>0.9</v>
      </c>
      <c r="AD697" s="57">
        <f t="shared" si="296"/>
        <v>0.9</v>
      </c>
    </row>
    <row r="698" spans="1:30" s="45" customFormat="1" outlineLevel="1">
      <c r="A698" s="75" t="s">
        <v>401</v>
      </c>
      <c r="B698" s="45" t="s">
        <v>384</v>
      </c>
      <c r="C698" s="42">
        <f>SUM(D698:AD698)</f>
        <v>1095.9467807705937</v>
      </c>
      <c r="D698" s="42">
        <f>D696*D697</f>
        <v>0</v>
      </c>
      <c r="E698" s="42">
        <f t="shared" ref="E698:AD698" si="297">E696*E697</f>
        <v>0</v>
      </c>
      <c r="F698" s="42">
        <f t="shared" si="297"/>
        <v>42.944090426554794</v>
      </c>
      <c r="G698" s="42">
        <f t="shared" si="297"/>
        <v>77.058579413164651</v>
      </c>
      <c r="H698" s="42">
        <f t="shared" si="297"/>
        <v>82.460143579491188</v>
      </c>
      <c r="I698" s="42">
        <f t="shared" si="297"/>
        <v>82.451959444868208</v>
      </c>
      <c r="J698" s="42">
        <f t="shared" si="297"/>
        <v>85.370534051279179</v>
      </c>
      <c r="K698" s="42">
        <f t="shared" si="297"/>
        <v>76.245494277522795</v>
      </c>
      <c r="L698" s="42">
        <f t="shared" si="297"/>
        <v>72.83244148785819</v>
      </c>
      <c r="M698" s="42">
        <f t="shared" si="297"/>
        <v>72.437831717525171</v>
      </c>
      <c r="N698" s="42">
        <f t="shared" si="297"/>
        <v>72.429678110188192</v>
      </c>
      <c r="O698" s="42">
        <f t="shared" si="297"/>
        <v>72.421442966777832</v>
      </c>
      <c r="P698" s="42">
        <f t="shared" si="297"/>
        <v>73.85034820829722</v>
      </c>
      <c r="Q698" s="42">
        <f t="shared" si="297"/>
        <v>66.909671246711895</v>
      </c>
      <c r="R698" s="42">
        <f t="shared" si="297"/>
        <v>66.464002106053499</v>
      </c>
      <c r="S698" s="42">
        <f t="shared" si="297"/>
        <v>66.45571509455344</v>
      </c>
      <c r="T698" s="42">
        <f t="shared" si="297"/>
        <v>85.614848639747564</v>
      </c>
      <c r="U698" s="42">
        <f t="shared" si="297"/>
        <v>0</v>
      </c>
      <c r="V698" s="42">
        <f t="shared" si="297"/>
        <v>0</v>
      </c>
      <c r="W698" s="42">
        <f t="shared" si="297"/>
        <v>0</v>
      </c>
      <c r="X698" s="42">
        <f t="shared" si="297"/>
        <v>0</v>
      </c>
      <c r="Y698" s="42">
        <f t="shared" si="297"/>
        <v>0</v>
      </c>
      <c r="Z698" s="42">
        <f t="shared" si="297"/>
        <v>0</v>
      </c>
      <c r="AA698" s="42">
        <f t="shared" si="297"/>
        <v>0</v>
      </c>
      <c r="AB698" s="42">
        <f t="shared" si="297"/>
        <v>0</v>
      </c>
      <c r="AC698" s="42">
        <f t="shared" si="297"/>
        <v>0</v>
      </c>
      <c r="AD698" s="42">
        <f t="shared" si="297"/>
        <v>0</v>
      </c>
    </row>
    <row r="699" spans="1:30" ht="54" customHeight="1">
      <c r="A699" s="23" t="s">
        <v>400</v>
      </c>
      <c r="D699" s="15"/>
      <c r="F699" s="15"/>
      <c r="G699" s="15"/>
      <c r="H699" s="15"/>
      <c r="I699" s="15"/>
      <c r="J699" s="15"/>
      <c r="K699" s="15"/>
      <c r="L699" s="15"/>
      <c r="M699" s="15"/>
      <c r="N699" s="15"/>
      <c r="O699" s="15"/>
      <c r="P699" s="15"/>
      <c r="Q699" s="15"/>
      <c r="R699" s="15"/>
      <c r="S699" s="15"/>
      <c r="T699" s="15"/>
      <c r="U699" s="15"/>
      <c r="V699" s="15"/>
      <c r="W699" s="15"/>
      <c r="X699" s="15"/>
      <c r="Y699" s="15"/>
      <c r="Z699" s="15"/>
      <c r="AA699" s="15"/>
      <c r="AB699" s="15"/>
      <c r="AC699" s="15"/>
      <c r="AD699" s="15"/>
    </row>
    <row r="700" spans="1:30" s="45" customFormat="1" outlineLevel="1">
      <c r="A700" s="282" t="s">
        <v>591</v>
      </c>
      <c r="B700" s="13"/>
      <c r="C700" s="53"/>
      <c r="D700" s="44"/>
      <c r="E700" s="44"/>
      <c r="F700" s="44"/>
      <c r="G700" s="44"/>
      <c r="H700" s="44"/>
      <c r="I700" s="44"/>
      <c r="J700" s="44"/>
      <c r="K700" s="44"/>
      <c r="L700" s="44"/>
      <c r="M700" s="44"/>
      <c r="N700" s="44"/>
      <c r="O700" s="44"/>
      <c r="P700" s="44"/>
      <c r="Q700" s="44"/>
      <c r="R700" s="44"/>
      <c r="S700" s="44"/>
      <c r="T700" s="44"/>
      <c r="U700" s="44"/>
      <c r="V700" s="44"/>
      <c r="W700" s="44"/>
      <c r="X700" s="44"/>
      <c r="Y700" s="44"/>
      <c r="Z700" s="44"/>
      <c r="AA700" s="44"/>
      <c r="AB700" s="44"/>
      <c r="AC700" s="44"/>
      <c r="AD700" s="44"/>
    </row>
    <row r="701" spans="1:30" s="45" customFormat="1" outlineLevel="1">
      <c r="A701" s="282" t="s">
        <v>592</v>
      </c>
      <c r="B701" s="13"/>
      <c r="C701" s="53"/>
      <c r="D701" s="44"/>
      <c r="E701" s="44"/>
      <c r="F701" s="44"/>
      <c r="G701" s="44"/>
      <c r="H701" s="44"/>
      <c r="I701" s="44"/>
      <c r="J701" s="44"/>
      <c r="K701" s="44"/>
      <c r="L701" s="44"/>
      <c r="M701" s="44"/>
      <c r="N701" s="44"/>
      <c r="O701" s="44"/>
      <c r="P701" s="44"/>
      <c r="Q701" s="44"/>
      <c r="R701" s="44"/>
      <c r="S701" s="44"/>
      <c r="T701" s="44"/>
      <c r="U701" s="44"/>
      <c r="V701" s="44"/>
      <c r="W701" s="44"/>
      <c r="X701" s="44"/>
      <c r="Y701" s="44"/>
      <c r="Z701" s="44"/>
      <c r="AA701" s="44"/>
      <c r="AB701" s="44"/>
      <c r="AC701" s="44"/>
      <c r="AD701" s="44"/>
    </row>
    <row r="702" spans="1:30" s="45" customFormat="1" outlineLevel="1">
      <c r="A702" s="282" t="s">
        <v>593</v>
      </c>
      <c r="B702" s="13"/>
      <c r="C702" s="53"/>
      <c r="D702" s="44"/>
      <c r="E702" s="44"/>
      <c r="F702" s="44"/>
      <c r="G702" s="44"/>
      <c r="H702" s="44"/>
      <c r="I702" s="44"/>
      <c r="J702" s="44"/>
      <c r="K702" s="44"/>
      <c r="L702" s="44"/>
      <c r="M702" s="44"/>
      <c r="N702" s="44"/>
      <c r="O702" s="44"/>
      <c r="P702" s="44"/>
      <c r="Q702" s="44"/>
      <c r="R702" s="44"/>
      <c r="S702" s="44"/>
      <c r="T702" s="44"/>
      <c r="U702" s="44"/>
      <c r="V702" s="44"/>
      <c r="W702" s="44"/>
      <c r="X702" s="44"/>
      <c r="Y702" s="44"/>
      <c r="Z702" s="44"/>
      <c r="AA702" s="44"/>
      <c r="AB702" s="44"/>
      <c r="AC702" s="44"/>
      <c r="AD702" s="44"/>
    </row>
    <row r="703" spans="1:30" s="45" customFormat="1" outlineLevel="1">
      <c r="A703" s="282" t="s">
        <v>594</v>
      </c>
      <c r="B703" s="13"/>
      <c r="C703" s="53"/>
      <c r="D703" s="44"/>
      <c r="E703" s="44"/>
      <c r="F703" s="44"/>
      <c r="G703" s="44"/>
      <c r="H703" s="44"/>
      <c r="I703" s="44"/>
      <c r="J703" s="44"/>
      <c r="K703" s="44"/>
      <c r="L703" s="44"/>
      <c r="M703" s="44"/>
      <c r="N703" s="44"/>
      <c r="O703" s="44"/>
      <c r="P703" s="44"/>
      <c r="Q703" s="44"/>
      <c r="R703" s="44"/>
      <c r="S703" s="44"/>
      <c r="T703" s="44"/>
      <c r="U703" s="44"/>
      <c r="V703" s="44"/>
      <c r="W703" s="44"/>
      <c r="X703" s="44"/>
      <c r="Y703" s="44"/>
      <c r="Z703" s="44"/>
      <c r="AA703" s="44"/>
      <c r="AB703" s="44"/>
      <c r="AC703" s="44"/>
      <c r="AD703" s="44"/>
    </row>
    <row r="704" spans="1:30" s="45" customFormat="1" outlineLevel="1">
      <c r="A704" s="282" t="s">
        <v>595</v>
      </c>
      <c r="B704" s="13"/>
      <c r="C704" s="53"/>
      <c r="D704" s="44"/>
      <c r="E704" s="44"/>
      <c r="F704" s="44"/>
      <c r="G704" s="44"/>
      <c r="H704" s="44"/>
      <c r="I704" s="44"/>
      <c r="J704" s="44"/>
      <c r="K704" s="44"/>
      <c r="L704" s="44"/>
      <c r="M704" s="44"/>
      <c r="N704" s="44"/>
      <c r="O704" s="44"/>
      <c r="P704" s="44"/>
      <c r="Q704" s="44"/>
      <c r="R704" s="44"/>
      <c r="S704" s="44"/>
      <c r="T704" s="44"/>
      <c r="U704" s="44"/>
      <c r="V704" s="44"/>
      <c r="W704" s="44"/>
      <c r="X704" s="44"/>
      <c r="Y704" s="44"/>
      <c r="Z704" s="44"/>
      <c r="AA704" s="44"/>
      <c r="AB704" s="44"/>
      <c r="AC704" s="44"/>
      <c r="AD704" s="44"/>
    </row>
    <row r="705" spans="1:30" s="167" customFormat="1" outlineLevel="1">
      <c r="A705" s="167" t="s">
        <v>475</v>
      </c>
      <c r="B705" s="49"/>
      <c r="C705" s="168"/>
      <c r="D705" s="168"/>
      <c r="E705" s="168"/>
      <c r="F705" s="168"/>
      <c r="G705" s="168"/>
      <c r="H705" s="168"/>
      <c r="I705" s="168"/>
      <c r="J705" s="168"/>
      <c r="K705" s="168"/>
      <c r="L705" s="168"/>
      <c r="M705" s="168"/>
      <c r="N705" s="168"/>
      <c r="O705" s="168"/>
      <c r="P705" s="168"/>
      <c r="Q705" s="168"/>
      <c r="R705" s="168"/>
      <c r="S705" s="168"/>
      <c r="T705" s="168"/>
      <c r="U705" s="168"/>
      <c r="V705" s="168"/>
      <c r="W705" s="168"/>
      <c r="X705" s="168"/>
      <c r="Y705" s="168"/>
      <c r="Z705" s="168"/>
      <c r="AA705" s="168"/>
      <c r="AB705" s="168"/>
      <c r="AC705" s="168"/>
      <c r="AD705" s="168"/>
    </row>
    <row r="706" spans="1:30" outlineLevel="1">
      <c r="A706" s="13" t="str">
        <f>A321</f>
        <v>Revenue in A$ - High Case</v>
      </c>
      <c r="B706" s="13" t="str">
        <f>B321</f>
        <v>A$ million Real</v>
      </c>
      <c r="C706" s="118">
        <f>SUM(D706:AD706)</f>
        <v>13881.602729952219</v>
      </c>
      <c r="D706" s="118">
        <f t="shared" ref="D706:AD706" si="298">D321</f>
        <v>0</v>
      </c>
      <c r="E706" s="118">
        <f t="shared" si="298"/>
        <v>0</v>
      </c>
      <c r="F706" s="118">
        <f t="shared" si="298"/>
        <v>564.9896005125355</v>
      </c>
      <c r="G706" s="118">
        <f t="shared" si="298"/>
        <v>1017.6140828668771</v>
      </c>
      <c r="H706" s="118">
        <f t="shared" si="298"/>
        <v>1090.9238208385455</v>
      </c>
      <c r="I706" s="118">
        <f t="shared" si="298"/>
        <v>1090.9238208385455</v>
      </c>
      <c r="J706" s="118">
        <f t="shared" si="298"/>
        <v>1129.4458390553093</v>
      </c>
      <c r="K706" s="118">
        <f t="shared" si="298"/>
        <v>988.76825014708868</v>
      </c>
      <c r="L706" s="118">
        <f t="shared" si="298"/>
        <v>917.12485739056297</v>
      </c>
      <c r="M706" s="118">
        <f t="shared" si="298"/>
        <v>906.42524636801443</v>
      </c>
      <c r="N706" s="118">
        <f t="shared" si="298"/>
        <v>906.42524636801443</v>
      </c>
      <c r="O706" s="118">
        <f t="shared" si="298"/>
        <v>906.42524636801443</v>
      </c>
      <c r="P706" s="118">
        <f t="shared" si="298"/>
        <v>936.15299629543631</v>
      </c>
      <c r="Q706" s="118">
        <f t="shared" si="298"/>
        <v>803.00326271689619</v>
      </c>
      <c r="R706" s="118">
        <f t="shared" si="298"/>
        <v>797.75312239585696</v>
      </c>
      <c r="S706" s="118">
        <f t="shared" si="298"/>
        <v>797.75312239585696</v>
      </c>
      <c r="T706" s="118">
        <f t="shared" si="298"/>
        <v>1027.8742153946621</v>
      </c>
      <c r="U706" s="118">
        <f t="shared" si="298"/>
        <v>0</v>
      </c>
      <c r="V706" s="118">
        <f t="shared" si="298"/>
        <v>0</v>
      </c>
      <c r="W706" s="118">
        <f t="shared" si="298"/>
        <v>0</v>
      </c>
      <c r="X706" s="118">
        <f t="shared" si="298"/>
        <v>0</v>
      </c>
      <c r="Y706" s="118">
        <f t="shared" si="298"/>
        <v>0</v>
      </c>
      <c r="Z706" s="118">
        <f t="shared" si="298"/>
        <v>0</v>
      </c>
      <c r="AA706" s="118">
        <f t="shared" si="298"/>
        <v>0</v>
      </c>
      <c r="AB706" s="118">
        <f t="shared" si="298"/>
        <v>0</v>
      </c>
      <c r="AC706" s="118">
        <f t="shared" si="298"/>
        <v>0</v>
      </c>
      <c r="AD706" s="118">
        <f t="shared" si="298"/>
        <v>0</v>
      </c>
    </row>
    <row r="707" spans="1:30" s="71" customFormat="1" ht="19.5" customHeight="1" outlineLevel="1">
      <c r="A707" s="62" t="s">
        <v>16</v>
      </c>
      <c r="C707" s="119"/>
      <c r="D707" s="119"/>
      <c r="E707" s="119"/>
      <c r="F707" s="119"/>
      <c r="G707" s="119"/>
      <c r="H707" s="119"/>
      <c r="I707" s="119"/>
      <c r="J707" s="119"/>
      <c r="K707" s="119"/>
      <c r="L707" s="119"/>
      <c r="M707" s="119"/>
      <c r="N707" s="119"/>
      <c r="O707" s="119"/>
      <c r="P707" s="119"/>
      <c r="Q707" s="119"/>
      <c r="R707" s="119"/>
      <c r="S707" s="119"/>
      <c r="T707" s="119"/>
      <c r="U707" s="119"/>
      <c r="V707" s="119"/>
      <c r="W707" s="119"/>
      <c r="X707" s="119"/>
      <c r="Y707" s="119"/>
      <c r="Z707" s="119"/>
      <c r="AA707" s="119"/>
      <c r="AB707" s="119"/>
      <c r="AC707" s="119"/>
      <c r="AD707" s="119"/>
    </row>
    <row r="708" spans="1:30" outlineLevel="1">
      <c r="A708" s="13" t="str">
        <f>A645</f>
        <v>Operating Costs in A$ - High Case</v>
      </c>
      <c r="B708" s="13" t="str">
        <f>B645</f>
        <v>A$ millions Real</v>
      </c>
      <c r="C708" s="118">
        <f>SUM(D708:AD708)</f>
        <v>7302.12714272832</v>
      </c>
      <c r="D708" s="118">
        <f t="shared" ref="D708:AD708" si="299">D645</f>
        <v>3.8</v>
      </c>
      <c r="E708" s="118">
        <f t="shared" si="299"/>
        <v>141.60000000000002</v>
      </c>
      <c r="F708" s="118">
        <f t="shared" si="299"/>
        <v>278.81756228287838</v>
      </c>
      <c r="G708" s="118">
        <f t="shared" si="299"/>
        <v>322.96244276971663</v>
      </c>
      <c r="H708" s="118">
        <f t="shared" si="299"/>
        <v>414.78711389872922</v>
      </c>
      <c r="I708" s="118">
        <f t="shared" si="299"/>
        <v>418.28330428307328</v>
      </c>
      <c r="J708" s="118">
        <f t="shared" si="299"/>
        <v>538.19922847001021</v>
      </c>
      <c r="K708" s="118">
        <f t="shared" si="299"/>
        <v>533.7602471287189</v>
      </c>
      <c r="L708" s="118">
        <f t="shared" si="299"/>
        <v>542.85362658818485</v>
      </c>
      <c r="M708" s="118">
        <f t="shared" si="299"/>
        <v>547.84541762500271</v>
      </c>
      <c r="N708" s="118">
        <f t="shared" si="299"/>
        <v>552.83808462758054</v>
      </c>
      <c r="O708" s="118">
        <f t="shared" si="299"/>
        <v>557.83167830018408</v>
      </c>
      <c r="P708" s="118">
        <f t="shared" si="299"/>
        <v>562.34219740516653</v>
      </c>
      <c r="Q708" s="118">
        <f t="shared" si="299"/>
        <v>467.91218364384241</v>
      </c>
      <c r="R708" s="118">
        <f t="shared" si="299"/>
        <v>471.5728930645729</v>
      </c>
      <c r="S708" s="118">
        <f t="shared" si="299"/>
        <v>409.26497097012913</v>
      </c>
      <c r="T708" s="118">
        <f t="shared" si="299"/>
        <v>537.45619167053144</v>
      </c>
      <c r="U708" s="118">
        <f t="shared" si="299"/>
        <v>0</v>
      </c>
      <c r="V708" s="118">
        <f t="shared" si="299"/>
        <v>0</v>
      </c>
      <c r="W708" s="118">
        <f t="shared" si="299"/>
        <v>0</v>
      </c>
      <c r="X708" s="118">
        <f t="shared" si="299"/>
        <v>0</v>
      </c>
      <c r="Y708" s="118">
        <f t="shared" si="299"/>
        <v>0</v>
      </c>
      <c r="Z708" s="118">
        <f t="shared" si="299"/>
        <v>0</v>
      </c>
      <c r="AA708" s="118">
        <f t="shared" si="299"/>
        <v>0</v>
      </c>
      <c r="AB708" s="118">
        <f t="shared" si="299"/>
        <v>0</v>
      </c>
      <c r="AC708" s="118">
        <f t="shared" si="299"/>
        <v>0</v>
      </c>
      <c r="AD708" s="118">
        <f t="shared" si="299"/>
        <v>0</v>
      </c>
    </row>
    <row r="709" spans="1:30" outlineLevel="1">
      <c r="A709" s="13" t="str">
        <f>A696</f>
        <v>Royalties State</v>
      </c>
      <c r="B709" s="13" t="str">
        <f>B696</f>
        <v>A$ millions Real</v>
      </c>
      <c r="C709" s="118">
        <f>SUM(D709:AD709)</f>
        <v>1217.71864530066</v>
      </c>
      <c r="D709" s="118">
        <f t="shared" ref="D709:AD709" si="300">D696</f>
        <v>0</v>
      </c>
      <c r="E709" s="118">
        <f t="shared" si="300"/>
        <v>0</v>
      </c>
      <c r="F709" s="118">
        <f t="shared" si="300"/>
        <v>47.715656029505325</v>
      </c>
      <c r="G709" s="118">
        <f t="shared" si="300"/>
        <v>85.620643792405161</v>
      </c>
      <c r="H709" s="118">
        <f t="shared" si="300"/>
        <v>91.622381754990201</v>
      </c>
      <c r="I709" s="118">
        <f t="shared" si="300"/>
        <v>91.613288272075792</v>
      </c>
      <c r="J709" s="118">
        <f t="shared" si="300"/>
        <v>94.856148945865755</v>
      </c>
      <c r="K709" s="118">
        <f t="shared" si="300"/>
        <v>84.71721586391422</v>
      </c>
      <c r="L709" s="118">
        <f t="shared" si="300"/>
        <v>80.924934986509101</v>
      </c>
      <c r="M709" s="118">
        <f t="shared" si="300"/>
        <v>80.486479686139077</v>
      </c>
      <c r="N709" s="118">
        <f t="shared" si="300"/>
        <v>80.477420122431326</v>
      </c>
      <c r="O709" s="118">
        <f t="shared" si="300"/>
        <v>80.468269963086485</v>
      </c>
      <c r="P709" s="118">
        <f t="shared" si="300"/>
        <v>82.055942453663576</v>
      </c>
      <c r="Q709" s="118">
        <f t="shared" si="300"/>
        <v>74.34407916301322</v>
      </c>
      <c r="R709" s="118">
        <f t="shared" si="300"/>
        <v>73.848891228948332</v>
      </c>
      <c r="S709" s="118">
        <f t="shared" si="300"/>
        <v>73.839683438392711</v>
      </c>
      <c r="T709" s="118">
        <f t="shared" si="300"/>
        <v>95.127609599719506</v>
      </c>
      <c r="U709" s="118">
        <f t="shared" si="300"/>
        <v>0</v>
      </c>
      <c r="V709" s="118">
        <f t="shared" si="300"/>
        <v>0</v>
      </c>
      <c r="W709" s="118">
        <f t="shared" si="300"/>
        <v>0</v>
      </c>
      <c r="X709" s="118">
        <f t="shared" si="300"/>
        <v>0</v>
      </c>
      <c r="Y709" s="118">
        <f t="shared" si="300"/>
        <v>0</v>
      </c>
      <c r="Z709" s="118">
        <f t="shared" si="300"/>
        <v>0</v>
      </c>
      <c r="AA709" s="118">
        <f t="shared" si="300"/>
        <v>0</v>
      </c>
      <c r="AB709" s="118">
        <f t="shared" si="300"/>
        <v>0</v>
      </c>
      <c r="AC709" s="118">
        <f t="shared" si="300"/>
        <v>0</v>
      </c>
      <c r="AD709" s="118">
        <f t="shared" si="300"/>
        <v>0</v>
      </c>
    </row>
    <row r="710" spans="1:30" s="63" customFormat="1" outlineLevel="1">
      <c r="A710" s="63" t="str">
        <f>A416</f>
        <v>deductions for capex incl prestrip - available  (Real terms)</v>
      </c>
      <c r="B710" s="13" t="s">
        <v>407</v>
      </c>
      <c r="C710" s="120">
        <f>SUM(D710:AD710)</f>
        <v>1195.5755053136118</v>
      </c>
      <c r="D710" s="120">
        <f t="shared" ref="D710:AD710" si="301">D416</f>
        <v>10</v>
      </c>
      <c r="E710" s="120">
        <f t="shared" si="301"/>
        <v>30</v>
      </c>
      <c r="F710" s="120">
        <f t="shared" si="301"/>
        <v>244.43140818625551</v>
      </c>
      <c r="G710" s="120">
        <f t="shared" si="301"/>
        <v>166.0970604540949</v>
      </c>
      <c r="H710" s="120">
        <f t="shared" si="301"/>
        <v>116.11608663215226</v>
      </c>
      <c r="I710" s="120">
        <f t="shared" si="301"/>
        <v>88.588212232114714</v>
      </c>
      <c r="J710" s="120">
        <f t="shared" si="301"/>
        <v>67.073510680038197</v>
      </c>
      <c r="K710" s="120">
        <f t="shared" si="301"/>
        <v>52.987135183870691</v>
      </c>
      <c r="L710" s="120">
        <f t="shared" si="301"/>
        <v>43.676759353072079</v>
      </c>
      <c r="M710" s="120">
        <f t="shared" si="301"/>
        <v>41.055611883986543</v>
      </c>
      <c r="N710" s="120">
        <f t="shared" si="301"/>
        <v>36.141302411707549</v>
      </c>
      <c r="O710" s="120">
        <f t="shared" si="301"/>
        <v>32.688081079199101</v>
      </c>
      <c r="P710" s="120">
        <f t="shared" si="301"/>
        <v>30.224117606189136</v>
      </c>
      <c r="Q710" s="120">
        <f t="shared" si="301"/>
        <v>31.139146586671643</v>
      </c>
      <c r="R710" s="120">
        <f t="shared" si="301"/>
        <v>29.297652150272352</v>
      </c>
      <c r="S710" s="120">
        <f t="shared" si="301"/>
        <v>27.89434503412178</v>
      </c>
      <c r="T710" s="120">
        <f t="shared" si="301"/>
        <v>148.16507583986538</v>
      </c>
      <c r="U710" s="120">
        <f t="shared" si="301"/>
        <v>0</v>
      </c>
      <c r="V710" s="120">
        <f t="shared" si="301"/>
        <v>0</v>
      </c>
      <c r="W710" s="120">
        <f t="shared" si="301"/>
        <v>0</v>
      </c>
      <c r="X710" s="120">
        <f t="shared" si="301"/>
        <v>0</v>
      </c>
      <c r="Y710" s="120">
        <f t="shared" si="301"/>
        <v>0</v>
      </c>
      <c r="Z710" s="120">
        <f t="shared" si="301"/>
        <v>0</v>
      </c>
      <c r="AA710" s="120">
        <f t="shared" si="301"/>
        <v>0</v>
      </c>
      <c r="AB710" s="120">
        <f t="shared" si="301"/>
        <v>0</v>
      </c>
      <c r="AC710" s="120">
        <f t="shared" si="301"/>
        <v>0</v>
      </c>
      <c r="AD710" s="120">
        <f t="shared" si="301"/>
        <v>0</v>
      </c>
    </row>
    <row r="711" spans="1:30" s="63" customFormat="1" outlineLevel="1">
      <c r="A711" s="63" t="s">
        <v>169</v>
      </c>
      <c r="B711" s="13" t="str">
        <f>B706</f>
        <v>A$ million Real</v>
      </c>
      <c r="C711" s="120">
        <f>SUM(D711:AD711)</f>
        <v>4166.1814366096241</v>
      </c>
      <c r="D711" s="121">
        <f>D706-SUM(D708:D710)</f>
        <v>-13.8</v>
      </c>
      <c r="E711" s="121">
        <f t="shared" ref="E711:AD711" si="302">E706-SUM(E708:E710)</f>
        <v>-171.60000000000002</v>
      </c>
      <c r="F711" s="121">
        <f t="shared" si="302"/>
        <v>-5.9750259861037875</v>
      </c>
      <c r="G711" s="121">
        <f t="shared" si="302"/>
        <v>442.9339358506603</v>
      </c>
      <c r="H711" s="121">
        <f t="shared" si="302"/>
        <v>468.39823855267377</v>
      </c>
      <c r="I711" s="121">
        <f t="shared" si="302"/>
        <v>492.43901605128167</v>
      </c>
      <c r="J711" s="121">
        <f t="shared" si="302"/>
        <v>429.31695095939517</v>
      </c>
      <c r="K711" s="121">
        <f t="shared" si="302"/>
        <v>317.30365197058484</v>
      </c>
      <c r="L711" s="121">
        <f t="shared" si="302"/>
        <v>249.66953646279694</v>
      </c>
      <c r="M711" s="121">
        <f t="shared" si="302"/>
        <v>237.03773717288607</v>
      </c>
      <c r="N711" s="121">
        <f t="shared" si="302"/>
        <v>236.96843920629499</v>
      </c>
      <c r="O711" s="121">
        <f t="shared" si="302"/>
        <v>235.43721702554467</v>
      </c>
      <c r="P711" s="121">
        <f t="shared" si="302"/>
        <v>261.53073883041714</v>
      </c>
      <c r="Q711" s="121">
        <f t="shared" si="302"/>
        <v>229.607853323369</v>
      </c>
      <c r="R711" s="121">
        <f t="shared" si="302"/>
        <v>223.03368595206337</v>
      </c>
      <c r="S711" s="121">
        <f t="shared" si="302"/>
        <v>286.75412295321337</v>
      </c>
      <c r="T711" s="121">
        <f t="shared" si="302"/>
        <v>247.12533828454582</v>
      </c>
      <c r="U711" s="121">
        <f t="shared" si="302"/>
        <v>0</v>
      </c>
      <c r="V711" s="121">
        <f t="shared" si="302"/>
        <v>0</v>
      </c>
      <c r="W711" s="121">
        <f t="shared" si="302"/>
        <v>0</v>
      </c>
      <c r="X711" s="121">
        <f t="shared" si="302"/>
        <v>0</v>
      </c>
      <c r="Y711" s="121">
        <f t="shared" si="302"/>
        <v>0</v>
      </c>
      <c r="Z711" s="121">
        <f t="shared" si="302"/>
        <v>0</v>
      </c>
      <c r="AA711" s="121">
        <f t="shared" si="302"/>
        <v>0</v>
      </c>
      <c r="AB711" s="121">
        <f t="shared" si="302"/>
        <v>0</v>
      </c>
      <c r="AC711" s="121">
        <f t="shared" si="302"/>
        <v>0</v>
      </c>
      <c r="AD711" s="121">
        <f t="shared" si="302"/>
        <v>0</v>
      </c>
    </row>
    <row r="712" spans="1:30" s="63" customFormat="1" outlineLevel="1">
      <c r="B712" s="13"/>
      <c r="C712" s="120"/>
      <c r="D712" s="120"/>
      <c r="E712" s="120"/>
      <c r="F712" s="120"/>
      <c r="G712" s="120"/>
      <c r="H712" s="120"/>
      <c r="I712" s="120"/>
      <c r="J712" s="120"/>
      <c r="K712" s="120"/>
      <c r="L712" s="120"/>
      <c r="M712" s="120"/>
      <c r="N712" s="120"/>
      <c r="O712" s="120"/>
      <c r="P712" s="120"/>
      <c r="Q712" s="120"/>
      <c r="R712" s="120"/>
      <c r="S712" s="120"/>
      <c r="T712" s="120"/>
      <c r="U712" s="120"/>
      <c r="V712" s="120"/>
      <c r="W712" s="120"/>
      <c r="X712" s="120"/>
      <c r="Y712" s="120"/>
      <c r="Z712" s="120"/>
      <c r="AA712" s="120"/>
      <c r="AB712" s="120"/>
      <c r="AC712" s="120"/>
      <c r="AD712" s="120"/>
    </row>
    <row r="713" spans="1:30" s="167" customFormat="1" outlineLevel="1">
      <c r="A713" s="167" t="s">
        <v>459</v>
      </c>
      <c r="B713" s="49"/>
      <c r="C713" s="168"/>
      <c r="D713" s="168"/>
      <c r="E713" s="168"/>
      <c r="F713" s="168"/>
      <c r="G713" s="168"/>
      <c r="H713" s="168"/>
      <c r="I713" s="168"/>
      <c r="J713" s="168"/>
      <c r="K713" s="168"/>
      <c r="L713" s="168"/>
      <c r="M713" s="168"/>
      <c r="N713" s="168"/>
      <c r="O713" s="168"/>
      <c r="P713" s="168"/>
      <c r="Q713" s="168"/>
      <c r="R713" s="168"/>
      <c r="S713" s="168"/>
      <c r="T713" s="168"/>
      <c r="U713" s="168"/>
      <c r="V713" s="168"/>
      <c r="W713" s="168"/>
      <c r="X713" s="168"/>
      <c r="Y713" s="168"/>
      <c r="Z713" s="168"/>
      <c r="AA713" s="168"/>
      <c r="AB713" s="168"/>
      <c r="AC713" s="168"/>
      <c r="AD713" s="168"/>
    </row>
    <row r="714" spans="1:30" s="63" customFormat="1" outlineLevel="1">
      <c r="A714" s="282" t="s">
        <v>596</v>
      </c>
      <c r="B714" s="13"/>
      <c r="C714" s="120"/>
      <c r="D714" s="120"/>
      <c r="E714" s="120"/>
      <c r="F714" s="120"/>
      <c r="G714" s="120"/>
      <c r="H714" s="120"/>
      <c r="I714" s="120"/>
      <c r="J714" s="120"/>
      <c r="K714" s="120"/>
      <c r="L714" s="120"/>
      <c r="M714" s="120"/>
      <c r="N714" s="120"/>
      <c r="O714" s="120"/>
      <c r="P714" s="120"/>
      <c r="Q714" s="120"/>
      <c r="R714" s="120"/>
      <c r="S714" s="120"/>
      <c r="T714" s="120"/>
      <c r="U714" s="120"/>
      <c r="V714" s="120"/>
      <c r="W714" s="120"/>
      <c r="X714" s="120"/>
      <c r="Y714" s="120"/>
      <c r="Z714" s="120"/>
      <c r="AA714" s="120"/>
      <c r="AB714" s="120"/>
      <c r="AC714" s="120"/>
      <c r="AD714" s="120"/>
    </row>
    <row r="715" spans="1:30" s="63" customFormat="1" outlineLevel="1">
      <c r="A715" s="282" t="s">
        <v>597</v>
      </c>
      <c r="B715" s="13"/>
      <c r="C715" s="120"/>
      <c r="D715" s="120"/>
      <c r="E715" s="120"/>
      <c r="F715" s="120"/>
      <c r="G715" s="120"/>
      <c r="H715" s="120"/>
      <c r="I715" s="120"/>
      <c r="J715" s="120"/>
      <c r="K715" s="120"/>
      <c r="L715" s="120"/>
      <c r="M715" s="120"/>
      <c r="N715" s="120"/>
      <c r="O715" s="120"/>
      <c r="P715" s="120"/>
      <c r="Q715" s="120"/>
      <c r="R715" s="120"/>
      <c r="S715" s="120"/>
      <c r="T715" s="120"/>
      <c r="U715" s="120"/>
      <c r="V715" s="120"/>
      <c r="W715" s="120"/>
      <c r="X715" s="120"/>
      <c r="Y715" s="120"/>
      <c r="Z715" s="120"/>
      <c r="AA715" s="120"/>
      <c r="AB715" s="120"/>
      <c r="AC715" s="120"/>
      <c r="AD715" s="120"/>
    </row>
    <row r="716" spans="1:30" s="63" customFormat="1" outlineLevel="1">
      <c r="A716" s="282" t="s">
        <v>598</v>
      </c>
      <c r="B716" s="13"/>
      <c r="C716" s="120"/>
      <c r="D716" s="120"/>
      <c r="E716" s="120"/>
      <c r="F716" s="120"/>
      <c r="G716" s="120"/>
      <c r="H716" s="120"/>
      <c r="I716" s="120"/>
      <c r="J716" s="120"/>
      <c r="K716" s="120"/>
      <c r="L716" s="120"/>
      <c r="M716" s="120"/>
      <c r="N716" s="120"/>
      <c r="O716" s="120"/>
      <c r="P716" s="120"/>
      <c r="Q716" s="120"/>
      <c r="R716" s="120"/>
      <c r="S716" s="120"/>
      <c r="T716" s="120"/>
      <c r="U716" s="120"/>
      <c r="V716" s="120"/>
      <c r="W716" s="120"/>
      <c r="X716" s="120"/>
      <c r="Y716" s="120"/>
      <c r="Z716" s="120"/>
      <c r="AA716" s="120"/>
      <c r="AB716" s="120"/>
      <c r="AC716" s="120"/>
      <c r="AD716" s="120"/>
    </row>
    <row r="717" spans="1:30" s="63" customFormat="1" ht="13.5" outlineLevel="1" thickBot="1">
      <c r="A717" s="282" t="s">
        <v>599</v>
      </c>
      <c r="B717" s="13"/>
      <c r="C717" s="120"/>
      <c r="D717" s="120"/>
      <c r="E717" s="120"/>
      <c r="F717" s="120"/>
      <c r="G717" s="120"/>
      <c r="H717" s="120"/>
      <c r="I717" s="120"/>
      <c r="J717" s="120"/>
      <c r="K717" s="120"/>
      <c r="L717" s="120"/>
      <c r="M717" s="120"/>
      <c r="N717" s="120"/>
      <c r="O717" s="120"/>
      <c r="P717" s="120"/>
      <c r="Q717" s="120"/>
      <c r="R717" s="120"/>
      <c r="S717" s="120"/>
      <c r="T717" s="120"/>
      <c r="U717" s="120"/>
      <c r="V717" s="120"/>
      <c r="W717" s="120"/>
      <c r="X717" s="120"/>
      <c r="Y717" s="120"/>
      <c r="Z717" s="120"/>
      <c r="AA717" s="120"/>
      <c r="AB717" s="120"/>
      <c r="AC717" s="120"/>
      <c r="AD717" s="120"/>
    </row>
    <row r="718" spans="1:30" s="63" customFormat="1" ht="13.5" outlineLevel="1" thickBot="1">
      <c r="A718" s="63" t="s">
        <v>473</v>
      </c>
      <c r="B718" s="13"/>
      <c r="C718" s="120"/>
      <c r="D718" s="306">
        <v>-23</v>
      </c>
      <c r="E718" s="120">
        <f t="shared" ref="E718:AD718" si="303">D720</f>
        <v>-36.799999999999997</v>
      </c>
      <c r="F718" s="120">
        <f t="shared" si="303"/>
        <v>-208.40000000000003</v>
      </c>
      <c r="G718" s="120">
        <f t="shared" si="303"/>
        <v>-214.37502598610382</v>
      </c>
      <c r="H718" s="120">
        <f t="shared" si="303"/>
        <v>0</v>
      </c>
      <c r="I718" s="120">
        <f t="shared" si="303"/>
        <v>0</v>
      </c>
      <c r="J718" s="120">
        <f t="shared" si="303"/>
        <v>0</v>
      </c>
      <c r="K718" s="120">
        <f t="shared" si="303"/>
        <v>0</v>
      </c>
      <c r="L718" s="120">
        <f t="shared" si="303"/>
        <v>0</v>
      </c>
      <c r="M718" s="120">
        <f t="shared" si="303"/>
        <v>0</v>
      </c>
      <c r="N718" s="120">
        <f t="shared" si="303"/>
        <v>0</v>
      </c>
      <c r="O718" s="120">
        <f t="shared" si="303"/>
        <v>0</v>
      </c>
      <c r="P718" s="120">
        <f t="shared" si="303"/>
        <v>0</v>
      </c>
      <c r="Q718" s="120">
        <f t="shared" si="303"/>
        <v>0</v>
      </c>
      <c r="R718" s="120">
        <f t="shared" si="303"/>
        <v>0</v>
      </c>
      <c r="S718" s="120">
        <f t="shared" si="303"/>
        <v>0</v>
      </c>
      <c r="T718" s="120">
        <f t="shared" si="303"/>
        <v>0</v>
      </c>
      <c r="U718" s="120">
        <f t="shared" si="303"/>
        <v>0</v>
      </c>
      <c r="V718" s="120">
        <f t="shared" si="303"/>
        <v>0</v>
      </c>
      <c r="W718" s="120">
        <f t="shared" si="303"/>
        <v>0</v>
      </c>
      <c r="X718" s="120">
        <f t="shared" si="303"/>
        <v>0</v>
      </c>
      <c r="Y718" s="120">
        <f t="shared" si="303"/>
        <v>0</v>
      </c>
      <c r="Z718" s="120">
        <f t="shared" si="303"/>
        <v>0</v>
      </c>
      <c r="AA718" s="120">
        <f t="shared" si="303"/>
        <v>0</v>
      </c>
      <c r="AB718" s="120">
        <f t="shared" si="303"/>
        <v>0</v>
      </c>
      <c r="AC718" s="120">
        <f t="shared" si="303"/>
        <v>0</v>
      </c>
      <c r="AD718" s="120">
        <f t="shared" si="303"/>
        <v>0</v>
      </c>
    </row>
    <row r="719" spans="1:30" s="63" customFormat="1" outlineLevel="1">
      <c r="A719" s="63" t="s">
        <v>471</v>
      </c>
      <c r="B719" s="13"/>
      <c r="C719" s="120"/>
      <c r="D719" s="120">
        <f>D711+D718</f>
        <v>-36.799999999999997</v>
      </c>
      <c r="E719" s="120">
        <f t="shared" ref="E719:AD719" si="304">E711+E718</f>
        <v>-208.40000000000003</v>
      </c>
      <c r="F719" s="120">
        <f t="shared" si="304"/>
        <v>-214.37502598610382</v>
      </c>
      <c r="G719" s="120">
        <f t="shared" si="304"/>
        <v>228.55890986455648</v>
      </c>
      <c r="H719" s="120">
        <f t="shared" si="304"/>
        <v>468.39823855267377</v>
      </c>
      <c r="I719" s="120">
        <f t="shared" si="304"/>
        <v>492.43901605128167</v>
      </c>
      <c r="J719" s="120">
        <f t="shared" si="304"/>
        <v>429.31695095939517</v>
      </c>
      <c r="K719" s="120">
        <f t="shared" si="304"/>
        <v>317.30365197058484</v>
      </c>
      <c r="L719" s="120">
        <f t="shared" si="304"/>
        <v>249.66953646279694</v>
      </c>
      <c r="M719" s="120">
        <f t="shared" si="304"/>
        <v>237.03773717288607</v>
      </c>
      <c r="N719" s="120">
        <f t="shared" si="304"/>
        <v>236.96843920629499</v>
      </c>
      <c r="O719" s="120">
        <f t="shared" si="304"/>
        <v>235.43721702554467</v>
      </c>
      <c r="P719" s="120">
        <f t="shared" si="304"/>
        <v>261.53073883041714</v>
      </c>
      <c r="Q719" s="120">
        <f t="shared" si="304"/>
        <v>229.607853323369</v>
      </c>
      <c r="R719" s="120">
        <f t="shared" si="304"/>
        <v>223.03368595206337</v>
      </c>
      <c r="S719" s="120">
        <f t="shared" si="304"/>
        <v>286.75412295321337</v>
      </c>
      <c r="T719" s="120">
        <f t="shared" si="304"/>
        <v>247.12533828454582</v>
      </c>
      <c r="U719" s="120">
        <f t="shared" si="304"/>
        <v>0</v>
      </c>
      <c r="V719" s="120">
        <f t="shared" si="304"/>
        <v>0</v>
      </c>
      <c r="W719" s="120">
        <f t="shared" si="304"/>
        <v>0</v>
      </c>
      <c r="X719" s="120">
        <f t="shared" si="304"/>
        <v>0</v>
      </c>
      <c r="Y719" s="120">
        <f t="shared" si="304"/>
        <v>0</v>
      </c>
      <c r="Z719" s="120">
        <f t="shared" si="304"/>
        <v>0</v>
      </c>
      <c r="AA719" s="120">
        <f t="shared" si="304"/>
        <v>0</v>
      </c>
      <c r="AB719" s="120">
        <f t="shared" si="304"/>
        <v>0</v>
      </c>
      <c r="AC719" s="120">
        <f t="shared" si="304"/>
        <v>0</v>
      </c>
      <c r="AD719" s="120">
        <f t="shared" si="304"/>
        <v>0</v>
      </c>
    </row>
    <row r="720" spans="1:30" s="63" customFormat="1" outlineLevel="1">
      <c r="A720" s="63" t="s">
        <v>472</v>
      </c>
      <c r="B720" s="13"/>
      <c r="C720" s="120"/>
      <c r="D720" s="120">
        <f>IF(D719&gt;0,0,D719)</f>
        <v>-36.799999999999997</v>
      </c>
      <c r="E720" s="120">
        <f t="shared" ref="E720:AD720" si="305">IF(E719&gt;0,0,E719)</f>
        <v>-208.40000000000003</v>
      </c>
      <c r="F720" s="120">
        <f t="shared" si="305"/>
        <v>-214.37502598610382</v>
      </c>
      <c r="G720" s="120">
        <f t="shared" si="305"/>
        <v>0</v>
      </c>
      <c r="H720" s="120">
        <f t="shared" si="305"/>
        <v>0</v>
      </c>
      <c r="I720" s="120">
        <f t="shared" si="305"/>
        <v>0</v>
      </c>
      <c r="J720" s="120">
        <f t="shared" si="305"/>
        <v>0</v>
      </c>
      <c r="K720" s="120">
        <f t="shared" si="305"/>
        <v>0</v>
      </c>
      <c r="L720" s="120">
        <f t="shared" si="305"/>
        <v>0</v>
      </c>
      <c r="M720" s="120">
        <f t="shared" si="305"/>
        <v>0</v>
      </c>
      <c r="N720" s="120">
        <f t="shared" si="305"/>
        <v>0</v>
      </c>
      <c r="O720" s="120">
        <f t="shared" si="305"/>
        <v>0</v>
      </c>
      <c r="P720" s="120">
        <f t="shared" si="305"/>
        <v>0</v>
      </c>
      <c r="Q720" s="120">
        <f t="shared" si="305"/>
        <v>0</v>
      </c>
      <c r="R720" s="120">
        <f t="shared" si="305"/>
        <v>0</v>
      </c>
      <c r="S720" s="120">
        <f t="shared" si="305"/>
        <v>0</v>
      </c>
      <c r="T720" s="120">
        <f t="shared" si="305"/>
        <v>0</v>
      </c>
      <c r="U720" s="120">
        <f t="shared" si="305"/>
        <v>0</v>
      </c>
      <c r="V720" s="120">
        <f t="shared" si="305"/>
        <v>0</v>
      </c>
      <c r="W720" s="120">
        <f t="shared" si="305"/>
        <v>0</v>
      </c>
      <c r="X720" s="120">
        <f t="shared" si="305"/>
        <v>0</v>
      </c>
      <c r="Y720" s="120">
        <f t="shared" si="305"/>
        <v>0</v>
      </c>
      <c r="Z720" s="120">
        <f t="shared" si="305"/>
        <v>0</v>
      </c>
      <c r="AA720" s="120">
        <f t="shared" si="305"/>
        <v>0</v>
      </c>
      <c r="AB720" s="120">
        <f t="shared" si="305"/>
        <v>0</v>
      </c>
      <c r="AC720" s="120">
        <f t="shared" si="305"/>
        <v>0</v>
      </c>
      <c r="AD720" s="120">
        <f t="shared" si="305"/>
        <v>0</v>
      </c>
    </row>
    <row r="721" spans="1:30" s="63" customFormat="1" outlineLevel="1">
      <c r="A721" s="63" t="s">
        <v>86</v>
      </c>
      <c r="B721" s="13" t="s">
        <v>284</v>
      </c>
      <c r="C721" s="120">
        <f>SUM(D721:AD721)</f>
        <v>4143.1814366096241</v>
      </c>
      <c r="D721" s="121">
        <f t="shared" ref="D721:AD721" si="306">IF(D719&gt;0,D719,0)</f>
        <v>0</v>
      </c>
      <c r="E721" s="121">
        <f t="shared" si="306"/>
        <v>0</v>
      </c>
      <c r="F721" s="121">
        <f t="shared" si="306"/>
        <v>0</v>
      </c>
      <c r="G721" s="121">
        <f t="shared" si="306"/>
        <v>228.55890986455648</v>
      </c>
      <c r="H721" s="121">
        <f t="shared" si="306"/>
        <v>468.39823855267377</v>
      </c>
      <c r="I721" s="121">
        <f t="shared" si="306"/>
        <v>492.43901605128167</v>
      </c>
      <c r="J721" s="121">
        <f t="shared" si="306"/>
        <v>429.31695095939517</v>
      </c>
      <c r="K721" s="121">
        <f t="shared" si="306"/>
        <v>317.30365197058484</v>
      </c>
      <c r="L721" s="121">
        <f t="shared" si="306"/>
        <v>249.66953646279694</v>
      </c>
      <c r="M721" s="121">
        <f t="shared" si="306"/>
        <v>237.03773717288607</v>
      </c>
      <c r="N721" s="121">
        <f t="shared" si="306"/>
        <v>236.96843920629499</v>
      </c>
      <c r="O721" s="121">
        <f t="shared" si="306"/>
        <v>235.43721702554467</v>
      </c>
      <c r="P721" s="121">
        <f t="shared" si="306"/>
        <v>261.53073883041714</v>
      </c>
      <c r="Q721" s="121">
        <f t="shared" si="306"/>
        <v>229.607853323369</v>
      </c>
      <c r="R721" s="121">
        <f t="shared" si="306"/>
        <v>223.03368595206337</v>
      </c>
      <c r="S721" s="121">
        <f t="shared" si="306"/>
        <v>286.75412295321337</v>
      </c>
      <c r="T721" s="121">
        <f t="shared" si="306"/>
        <v>247.12533828454582</v>
      </c>
      <c r="U721" s="121">
        <f t="shared" si="306"/>
        <v>0</v>
      </c>
      <c r="V721" s="121">
        <f t="shared" si="306"/>
        <v>0</v>
      </c>
      <c r="W721" s="121">
        <f t="shared" si="306"/>
        <v>0</v>
      </c>
      <c r="X721" s="121">
        <f t="shared" si="306"/>
        <v>0</v>
      </c>
      <c r="Y721" s="121">
        <f t="shared" si="306"/>
        <v>0</v>
      </c>
      <c r="Z721" s="121">
        <f t="shared" si="306"/>
        <v>0</v>
      </c>
      <c r="AA721" s="121">
        <f t="shared" si="306"/>
        <v>0</v>
      </c>
      <c r="AB721" s="121">
        <f t="shared" si="306"/>
        <v>0</v>
      </c>
      <c r="AC721" s="121">
        <f t="shared" si="306"/>
        <v>0</v>
      </c>
      <c r="AD721" s="121">
        <f t="shared" si="306"/>
        <v>0</v>
      </c>
    </row>
    <row r="722" spans="1:30" ht="16.25" customHeight="1" outlineLevel="1">
      <c r="B722" s="96"/>
      <c r="C722" s="102"/>
      <c r="D722" s="15"/>
      <c r="E722" s="15"/>
      <c r="F722" s="15"/>
      <c r="G722" s="15"/>
      <c r="H722" s="15"/>
      <c r="I722" s="15"/>
      <c r="J722" s="15"/>
      <c r="K722" s="15"/>
      <c r="L722" s="15"/>
      <c r="M722" s="15"/>
      <c r="N722" s="15"/>
      <c r="O722" s="15"/>
      <c r="P722" s="15"/>
      <c r="Q722" s="15"/>
      <c r="R722" s="15"/>
      <c r="S722" s="15"/>
      <c r="T722" s="15"/>
      <c r="U722" s="15"/>
      <c r="V722" s="15"/>
      <c r="W722" s="15"/>
      <c r="X722" s="15"/>
      <c r="Y722" s="15"/>
      <c r="Z722" s="15"/>
      <c r="AA722" s="15"/>
      <c r="AB722" s="15"/>
      <c r="AC722" s="15"/>
      <c r="AD722" s="15"/>
    </row>
    <row r="723" spans="1:30" s="167" customFormat="1" outlineLevel="1">
      <c r="A723" s="167" t="s">
        <v>474</v>
      </c>
      <c r="B723" s="49"/>
      <c r="C723" s="168"/>
      <c r="D723" s="168"/>
      <c r="E723" s="168"/>
      <c r="F723" s="168"/>
      <c r="G723" s="168"/>
      <c r="H723" s="168"/>
      <c r="I723" s="168"/>
      <c r="J723" s="168"/>
      <c r="K723" s="168"/>
      <c r="L723" s="168"/>
      <c r="M723" s="168"/>
      <c r="N723" s="168"/>
      <c r="O723" s="168"/>
      <c r="P723" s="168"/>
      <c r="Q723" s="168"/>
      <c r="R723" s="168"/>
      <c r="S723" s="168"/>
      <c r="T723" s="168"/>
      <c r="U723" s="168"/>
      <c r="V723" s="168"/>
      <c r="W723" s="168"/>
      <c r="X723" s="168"/>
      <c r="Y723" s="168"/>
      <c r="Z723" s="168"/>
      <c r="AA723" s="168"/>
      <c r="AB723" s="168"/>
      <c r="AC723" s="168"/>
      <c r="AD723" s="168"/>
    </row>
    <row r="724" spans="1:30" outlineLevel="1">
      <c r="A724" s="247" t="str">
        <f>'Expected NPV &amp; Common Data'!A95</f>
        <v>2 December 2025: National Taxation Office website : Zero taxation on first A$3 million assessable income then 25%</v>
      </c>
      <c r="D724" s="15"/>
      <c r="E724" s="15"/>
      <c r="F724" s="15"/>
      <c r="G724" s="15"/>
      <c r="H724" s="15"/>
      <c r="I724" s="15"/>
      <c r="J724" s="15"/>
      <c r="K724" s="15"/>
      <c r="L724" s="15"/>
      <c r="M724" s="15"/>
      <c r="N724" s="15"/>
      <c r="O724" s="15"/>
      <c r="P724" s="15"/>
      <c r="Q724" s="15"/>
      <c r="R724" s="15"/>
      <c r="S724" s="15"/>
      <c r="T724" s="15"/>
      <c r="U724" s="15"/>
      <c r="V724" s="15"/>
      <c r="W724" s="15"/>
      <c r="X724" s="15"/>
      <c r="Y724" s="15"/>
      <c r="Z724" s="15"/>
      <c r="AA724" s="15"/>
      <c r="AB724" s="15"/>
      <c r="AC724" s="15"/>
      <c r="AD724" s="15"/>
    </row>
    <row r="725" spans="1:30" s="63" customFormat="1" outlineLevel="1">
      <c r="A725" s="282" t="s">
        <v>600</v>
      </c>
      <c r="B725" s="13"/>
      <c r="C725" s="120"/>
      <c r="D725" s="120"/>
      <c r="E725" s="120"/>
      <c r="F725" s="120"/>
      <c r="G725" s="120"/>
      <c r="H725" s="120"/>
      <c r="I725" s="120"/>
      <c r="J725" s="120"/>
      <c r="K725" s="120"/>
      <c r="L725" s="120"/>
      <c r="M725" s="120"/>
      <c r="N725" s="120"/>
      <c r="O725" s="120"/>
      <c r="P725" s="120"/>
      <c r="Q725" s="120"/>
      <c r="R725" s="120"/>
      <c r="S725" s="120"/>
      <c r="T725" s="120"/>
      <c r="U725" s="120"/>
      <c r="V725" s="120"/>
      <c r="W725" s="120"/>
      <c r="X725" s="120"/>
      <c r="Y725" s="120"/>
      <c r="Z725" s="120"/>
      <c r="AA725" s="120"/>
      <c r="AB725" s="120"/>
      <c r="AC725" s="120"/>
      <c r="AD725" s="120"/>
    </row>
    <row r="726" spans="1:30" s="310" customFormat="1" outlineLevel="1">
      <c r="A726" s="247" t="str">
        <f>'Expected NPV &amp; Common Data'!A96</f>
        <v>Assessable income threshold</v>
      </c>
      <c r="B726" s="307" t="str">
        <f>'Expected NPV &amp; Common Data'!B96</f>
        <v>A$ million</v>
      </c>
      <c r="C726" s="308"/>
      <c r="D726" s="309">
        <f>'Expected NPV &amp; Common Data'!D96</f>
        <v>3</v>
      </c>
      <c r="E726" s="309">
        <f>'Expected NPV &amp; Common Data'!E96</f>
        <v>3</v>
      </c>
      <c r="F726" s="309">
        <f>'Expected NPV &amp; Common Data'!F96</f>
        <v>3</v>
      </c>
      <c r="G726" s="309">
        <f>'Expected NPV &amp; Common Data'!G96</f>
        <v>3</v>
      </c>
      <c r="H726" s="309">
        <f>'Expected NPV &amp; Common Data'!H96</f>
        <v>3</v>
      </c>
      <c r="I726" s="309">
        <f>'Expected NPV &amp; Common Data'!I96</f>
        <v>3</v>
      </c>
      <c r="J726" s="309">
        <f>'Expected NPV &amp; Common Data'!J96</f>
        <v>3</v>
      </c>
      <c r="K726" s="309">
        <f>'Expected NPV &amp; Common Data'!K96</f>
        <v>3</v>
      </c>
      <c r="L726" s="309">
        <f>'Expected NPV &amp; Common Data'!L96</f>
        <v>3</v>
      </c>
      <c r="M726" s="309">
        <f>'Expected NPV &amp; Common Data'!M96</f>
        <v>3</v>
      </c>
      <c r="N726" s="309">
        <f>'Expected NPV &amp; Common Data'!N96</f>
        <v>3</v>
      </c>
      <c r="O726" s="309">
        <f>'Expected NPV &amp; Common Data'!O96</f>
        <v>3</v>
      </c>
      <c r="P726" s="309">
        <f>'Expected NPV &amp; Common Data'!P96</f>
        <v>3</v>
      </c>
      <c r="Q726" s="309">
        <f>'Expected NPV &amp; Common Data'!Q96</f>
        <v>3</v>
      </c>
      <c r="R726" s="309">
        <f>'Expected NPV &amp; Common Data'!R96</f>
        <v>3</v>
      </c>
      <c r="S726" s="309">
        <f>'Expected NPV &amp; Common Data'!S96</f>
        <v>3</v>
      </c>
      <c r="T726" s="309">
        <f>'Expected NPV &amp; Common Data'!T96</f>
        <v>3</v>
      </c>
      <c r="U726" s="309">
        <f>'Expected NPV &amp; Common Data'!U96</f>
        <v>3</v>
      </c>
      <c r="V726" s="309">
        <f>'Expected NPV &amp; Common Data'!V96</f>
        <v>3</v>
      </c>
      <c r="W726" s="309">
        <f>'Expected NPV &amp; Common Data'!W96</f>
        <v>3</v>
      </c>
      <c r="X726" s="309">
        <f>'Expected NPV &amp; Common Data'!X96</f>
        <v>3</v>
      </c>
      <c r="Y726" s="309">
        <f>'Expected NPV &amp; Common Data'!Y96</f>
        <v>3</v>
      </c>
      <c r="Z726" s="309">
        <f>'Expected NPV &amp; Common Data'!Z96</f>
        <v>3</v>
      </c>
      <c r="AA726" s="309">
        <f>'Expected NPV &amp; Common Data'!AA96</f>
        <v>3</v>
      </c>
      <c r="AB726" s="309">
        <f>'Expected NPV &amp; Common Data'!AB96</f>
        <v>3</v>
      </c>
      <c r="AC726" s="309">
        <f>'Expected NPV &amp; Common Data'!AC96</f>
        <v>3</v>
      </c>
      <c r="AD726" s="309">
        <f>'Expected NPV &amp; Common Data'!AD96</f>
        <v>3</v>
      </c>
    </row>
    <row r="727" spans="1:30" outlineLevel="1">
      <c r="A727" s="247" t="str">
        <f>'Expected NPV &amp; Common Data'!A97</f>
        <v>Threshold tax rate</v>
      </c>
      <c r="B727" s="247" t="str">
        <f>'Expected NPV &amp; Common Data'!B97</f>
        <v>% assessable income</v>
      </c>
      <c r="C727" s="248"/>
      <c r="D727" s="262">
        <f>'Expected NPV &amp; Common Data'!D97</f>
        <v>0.1</v>
      </c>
      <c r="E727" s="262">
        <f>'Expected NPV &amp; Common Data'!E97</f>
        <v>0.1</v>
      </c>
      <c r="F727" s="262">
        <f>'Expected NPV &amp; Common Data'!F97</f>
        <v>0.1</v>
      </c>
      <c r="G727" s="262">
        <f>'Expected NPV &amp; Common Data'!G97</f>
        <v>0.1</v>
      </c>
      <c r="H727" s="262">
        <f>'Expected NPV &amp; Common Data'!H97</f>
        <v>0.1</v>
      </c>
      <c r="I727" s="262">
        <f>'Expected NPV &amp; Common Data'!I97</f>
        <v>0.1</v>
      </c>
      <c r="J727" s="262">
        <f>'Expected NPV &amp; Common Data'!J97</f>
        <v>0.1</v>
      </c>
      <c r="K727" s="262">
        <f>'Expected NPV &amp; Common Data'!K97</f>
        <v>0.1</v>
      </c>
      <c r="L727" s="262">
        <f>'Expected NPV &amp; Common Data'!L97</f>
        <v>0.1</v>
      </c>
      <c r="M727" s="262">
        <f>'Expected NPV &amp; Common Data'!M97</f>
        <v>0.1</v>
      </c>
      <c r="N727" s="262">
        <f>'Expected NPV &amp; Common Data'!N97</f>
        <v>0.1</v>
      </c>
      <c r="O727" s="262">
        <f>'Expected NPV &amp; Common Data'!O97</f>
        <v>0.1</v>
      </c>
      <c r="P727" s="262">
        <f>'Expected NPV &amp; Common Data'!P97</f>
        <v>0.1</v>
      </c>
      <c r="Q727" s="262">
        <f>'Expected NPV &amp; Common Data'!Q97</f>
        <v>0.1</v>
      </c>
      <c r="R727" s="262">
        <f>'Expected NPV &amp; Common Data'!R97</f>
        <v>0.1</v>
      </c>
      <c r="S727" s="262">
        <f>'Expected NPV &amp; Common Data'!S97</f>
        <v>0.1</v>
      </c>
      <c r="T727" s="262">
        <f>'Expected NPV &amp; Common Data'!T97</f>
        <v>0.1</v>
      </c>
      <c r="U727" s="262">
        <f>'Expected NPV &amp; Common Data'!U97</f>
        <v>0.1</v>
      </c>
      <c r="V727" s="262">
        <f>'Expected NPV &amp; Common Data'!V97</f>
        <v>0.1</v>
      </c>
      <c r="W727" s="262">
        <f>'Expected NPV &amp; Common Data'!W97</f>
        <v>0.1</v>
      </c>
      <c r="X727" s="262">
        <f>'Expected NPV &amp; Common Data'!X97</f>
        <v>0.1</v>
      </c>
      <c r="Y727" s="262">
        <f>'Expected NPV &amp; Common Data'!Y97</f>
        <v>0.1</v>
      </c>
      <c r="Z727" s="262">
        <f>'Expected NPV &amp; Common Data'!Z97</f>
        <v>0.1</v>
      </c>
      <c r="AA727" s="262">
        <f>'Expected NPV &amp; Common Data'!AA97</f>
        <v>0.1</v>
      </c>
      <c r="AB727" s="262">
        <f>'Expected NPV &amp; Common Data'!AB97</f>
        <v>0.1</v>
      </c>
      <c r="AC727" s="262">
        <f>'Expected NPV &amp; Common Data'!AC97</f>
        <v>0.1</v>
      </c>
      <c r="AD727" s="262">
        <f>'Expected NPV &amp; Common Data'!AD97</f>
        <v>0.1</v>
      </c>
    </row>
    <row r="728" spans="1:30" outlineLevel="1">
      <c r="A728" s="45" t="s">
        <v>146</v>
      </c>
      <c r="B728" s="13" t="s">
        <v>284</v>
      </c>
      <c r="C728" s="42">
        <f>SUM(D728:AD728)</f>
        <v>42</v>
      </c>
      <c r="D728" s="56">
        <f>MIN(D721,D726)</f>
        <v>0</v>
      </c>
      <c r="E728" s="56">
        <f t="shared" ref="E728:AD728" si="307">MIN(E721,E726)</f>
        <v>0</v>
      </c>
      <c r="F728" s="56">
        <f t="shared" si="307"/>
        <v>0</v>
      </c>
      <c r="G728" s="56">
        <f t="shared" si="307"/>
        <v>3</v>
      </c>
      <c r="H728" s="56">
        <f t="shared" si="307"/>
        <v>3</v>
      </c>
      <c r="I728" s="56">
        <f t="shared" si="307"/>
        <v>3</v>
      </c>
      <c r="J728" s="56">
        <f t="shared" si="307"/>
        <v>3</v>
      </c>
      <c r="K728" s="56">
        <f t="shared" si="307"/>
        <v>3</v>
      </c>
      <c r="L728" s="56">
        <f t="shared" si="307"/>
        <v>3</v>
      </c>
      <c r="M728" s="56">
        <f t="shared" si="307"/>
        <v>3</v>
      </c>
      <c r="N728" s="56">
        <f t="shared" si="307"/>
        <v>3</v>
      </c>
      <c r="O728" s="56">
        <f t="shared" si="307"/>
        <v>3</v>
      </c>
      <c r="P728" s="56">
        <f t="shared" si="307"/>
        <v>3</v>
      </c>
      <c r="Q728" s="56">
        <f t="shared" si="307"/>
        <v>3</v>
      </c>
      <c r="R728" s="56">
        <f t="shared" si="307"/>
        <v>3</v>
      </c>
      <c r="S728" s="56">
        <f t="shared" si="307"/>
        <v>3</v>
      </c>
      <c r="T728" s="56">
        <f t="shared" si="307"/>
        <v>3</v>
      </c>
      <c r="U728" s="56">
        <f t="shared" si="307"/>
        <v>0</v>
      </c>
      <c r="V728" s="56">
        <f t="shared" si="307"/>
        <v>0</v>
      </c>
      <c r="W728" s="56">
        <f t="shared" si="307"/>
        <v>0</v>
      </c>
      <c r="X728" s="56">
        <f t="shared" si="307"/>
        <v>0</v>
      </c>
      <c r="Y728" s="56">
        <f t="shared" si="307"/>
        <v>0</v>
      </c>
      <c r="Z728" s="56">
        <f t="shared" si="307"/>
        <v>0</v>
      </c>
      <c r="AA728" s="56">
        <f t="shared" si="307"/>
        <v>0</v>
      </c>
      <c r="AB728" s="56">
        <f t="shared" si="307"/>
        <v>0</v>
      </c>
      <c r="AC728" s="56">
        <f t="shared" si="307"/>
        <v>0</v>
      </c>
      <c r="AD728" s="56">
        <f t="shared" si="307"/>
        <v>0</v>
      </c>
    </row>
    <row r="729" spans="1:30" outlineLevel="1">
      <c r="A729" s="45" t="s">
        <v>144</v>
      </c>
      <c r="B729" s="13" t="s">
        <v>284</v>
      </c>
      <c r="C729" s="42">
        <f>SUM(D729:AD729)</f>
        <v>4.1999999999999993</v>
      </c>
      <c r="D729" s="101">
        <f t="shared" ref="D729:AD729" si="308">D727*D728</f>
        <v>0</v>
      </c>
      <c r="E729" s="101">
        <f t="shared" si="308"/>
        <v>0</v>
      </c>
      <c r="F729" s="101">
        <f t="shared" si="308"/>
        <v>0</v>
      </c>
      <c r="G729" s="101">
        <f t="shared" si="308"/>
        <v>0.30000000000000004</v>
      </c>
      <c r="H729" s="101">
        <f t="shared" si="308"/>
        <v>0.30000000000000004</v>
      </c>
      <c r="I729" s="101">
        <f t="shared" si="308"/>
        <v>0.30000000000000004</v>
      </c>
      <c r="J729" s="101">
        <f t="shared" si="308"/>
        <v>0.30000000000000004</v>
      </c>
      <c r="K729" s="101">
        <f t="shared" si="308"/>
        <v>0.30000000000000004</v>
      </c>
      <c r="L729" s="101">
        <f t="shared" si="308"/>
        <v>0.30000000000000004</v>
      </c>
      <c r="M729" s="101">
        <f t="shared" si="308"/>
        <v>0.30000000000000004</v>
      </c>
      <c r="N729" s="101">
        <f t="shared" si="308"/>
        <v>0.30000000000000004</v>
      </c>
      <c r="O729" s="101">
        <f t="shared" si="308"/>
        <v>0.30000000000000004</v>
      </c>
      <c r="P729" s="101">
        <f t="shared" si="308"/>
        <v>0.30000000000000004</v>
      </c>
      <c r="Q729" s="101">
        <f t="shared" si="308"/>
        <v>0.30000000000000004</v>
      </c>
      <c r="R729" s="101">
        <f t="shared" si="308"/>
        <v>0.30000000000000004</v>
      </c>
      <c r="S729" s="101">
        <f t="shared" si="308"/>
        <v>0.30000000000000004</v>
      </c>
      <c r="T729" s="101">
        <f t="shared" si="308"/>
        <v>0.30000000000000004</v>
      </c>
      <c r="U729" s="101">
        <f t="shared" si="308"/>
        <v>0</v>
      </c>
      <c r="V729" s="101">
        <f t="shared" si="308"/>
        <v>0</v>
      </c>
      <c r="W729" s="101">
        <f t="shared" si="308"/>
        <v>0</v>
      </c>
      <c r="X729" s="101">
        <f t="shared" si="308"/>
        <v>0</v>
      </c>
      <c r="Y729" s="101">
        <f t="shared" si="308"/>
        <v>0</v>
      </c>
      <c r="Z729" s="101">
        <f t="shared" si="308"/>
        <v>0</v>
      </c>
      <c r="AA729" s="101">
        <f t="shared" si="308"/>
        <v>0</v>
      </c>
      <c r="AB729" s="101">
        <f t="shared" si="308"/>
        <v>0</v>
      </c>
      <c r="AC729" s="101">
        <f t="shared" si="308"/>
        <v>0</v>
      </c>
      <c r="AD729" s="101">
        <f t="shared" si="308"/>
        <v>0</v>
      </c>
    </row>
    <row r="730" spans="1:30" outlineLevel="1">
      <c r="A730" s="45"/>
      <c r="C730" s="42"/>
      <c r="D730" s="42"/>
      <c r="E730" s="42"/>
      <c r="F730" s="42"/>
      <c r="G730" s="42"/>
      <c r="H730" s="42"/>
      <c r="I730" s="42"/>
      <c r="J730" s="42"/>
      <c r="K730" s="42"/>
      <c r="L730" s="42"/>
      <c r="M730" s="42"/>
      <c r="N730" s="42"/>
      <c r="O730" s="42"/>
      <c r="P730" s="42"/>
      <c r="Q730" s="42"/>
      <c r="R730" s="42"/>
      <c r="S730" s="42"/>
      <c r="T730" s="42"/>
      <c r="U730" s="42"/>
      <c r="V730" s="42"/>
      <c r="W730" s="42"/>
      <c r="X730" s="42"/>
      <c r="Y730" s="42"/>
      <c r="Z730" s="42"/>
      <c r="AA730" s="42"/>
      <c r="AB730" s="42"/>
      <c r="AC730" s="42"/>
      <c r="AD730" s="42"/>
    </row>
    <row r="731" spans="1:30" outlineLevel="1">
      <c r="A731" s="45" t="s">
        <v>145</v>
      </c>
      <c r="B731" s="13" t="s">
        <v>284</v>
      </c>
      <c r="C731" s="42">
        <f>SUM(D731:AD731)</f>
        <v>4101.1814366096241</v>
      </c>
      <c r="D731" s="42">
        <f>IF(D721&gt;D726,D721-D726,0)</f>
        <v>0</v>
      </c>
      <c r="E731" s="42">
        <f t="shared" ref="E731:AD731" si="309">IF(E721&gt;E726,E721-E726,0)</f>
        <v>0</v>
      </c>
      <c r="F731" s="42">
        <f t="shared" si="309"/>
        <v>0</v>
      </c>
      <c r="G731" s="42">
        <f t="shared" si="309"/>
        <v>225.55890986455648</v>
      </c>
      <c r="H731" s="42">
        <f t="shared" si="309"/>
        <v>465.39823855267377</v>
      </c>
      <c r="I731" s="42">
        <f t="shared" si="309"/>
        <v>489.43901605128167</v>
      </c>
      <c r="J731" s="42">
        <f t="shared" si="309"/>
        <v>426.31695095939517</v>
      </c>
      <c r="K731" s="42">
        <f t="shared" si="309"/>
        <v>314.30365197058484</v>
      </c>
      <c r="L731" s="42">
        <f t="shared" si="309"/>
        <v>246.66953646279694</v>
      </c>
      <c r="M731" s="42">
        <f t="shared" si="309"/>
        <v>234.03773717288607</v>
      </c>
      <c r="N731" s="42">
        <f t="shared" si="309"/>
        <v>233.96843920629499</v>
      </c>
      <c r="O731" s="42">
        <f t="shared" si="309"/>
        <v>232.43721702554467</v>
      </c>
      <c r="P731" s="42">
        <f t="shared" si="309"/>
        <v>258.53073883041714</v>
      </c>
      <c r="Q731" s="42">
        <f t="shared" si="309"/>
        <v>226.607853323369</v>
      </c>
      <c r="R731" s="42">
        <f t="shared" si="309"/>
        <v>220.03368595206337</v>
      </c>
      <c r="S731" s="42">
        <f t="shared" si="309"/>
        <v>283.75412295321337</v>
      </c>
      <c r="T731" s="42">
        <f t="shared" si="309"/>
        <v>244.12533828454582</v>
      </c>
      <c r="U731" s="42">
        <f t="shared" si="309"/>
        <v>0</v>
      </c>
      <c r="V731" s="42">
        <f t="shared" si="309"/>
        <v>0</v>
      </c>
      <c r="W731" s="42">
        <f t="shared" si="309"/>
        <v>0</v>
      </c>
      <c r="X731" s="42">
        <f t="shared" si="309"/>
        <v>0</v>
      </c>
      <c r="Y731" s="42">
        <f t="shared" si="309"/>
        <v>0</v>
      </c>
      <c r="Z731" s="42">
        <f t="shared" si="309"/>
        <v>0</v>
      </c>
      <c r="AA731" s="42">
        <f t="shared" si="309"/>
        <v>0</v>
      </c>
      <c r="AB731" s="42">
        <f t="shared" si="309"/>
        <v>0</v>
      </c>
      <c r="AC731" s="42">
        <f t="shared" si="309"/>
        <v>0</v>
      </c>
      <c r="AD731" s="42">
        <f t="shared" si="309"/>
        <v>0</v>
      </c>
    </row>
    <row r="732" spans="1:30" outlineLevel="1">
      <c r="A732" s="247" t="str">
        <f>'Expected NPV &amp; Common Data'!A98</f>
        <v>Nationaln general income tax rate</v>
      </c>
      <c r="B732" s="247" t="str">
        <f>'Expected NPV &amp; Common Data'!B98</f>
        <v>% assessable income</v>
      </c>
      <c r="C732" s="248"/>
      <c r="D732" s="262">
        <f>'Expected NPV &amp; Common Data'!D98</f>
        <v>0.25</v>
      </c>
      <c r="E732" s="262">
        <f>'Expected NPV &amp; Common Data'!E98</f>
        <v>0.25</v>
      </c>
      <c r="F732" s="262">
        <f>'Expected NPV &amp; Common Data'!F98</f>
        <v>0.25</v>
      </c>
      <c r="G732" s="262">
        <f>'Expected NPV &amp; Common Data'!G98</f>
        <v>0.25</v>
      </c>
      <c r="H732" s="262">
        <f>'Expected NPV &amp; Common Data'!H98</f>
        <v>0.25</v>
      </c>
      <c r="I732" s="262">
        <f>'Expected NPV &amp; Common Data'!I98</f>
        <v>0.25</v>
      </c>
      <c r="J732" s="262">
        <f>'Expected NPV &amp; Common Data'!J98</f>
        <v>0.25</v>
      </c>
      <c r="K732" s="262">
        <f>'Expected NPV &amp; Common Data'!K98</f>
        <v>0.25</v>
      </c>
      <c r="L732" s="262">
        <f>'Expected NPV &amp; Common Data'!L98</f>
        <v>0.25</v>
      </c>
      <c r="M732" s="262">
        <f>'Expected NPV &amp; Common Data'!M98</f>
        <v>0.25</v>
      </c>
      <c r="N732" s="262">
        <f>'Expected NPV &amp; Common Data'!N98</f>
        <v>0.25</v>
      </c>
      <c r="O732" s="262">
        <f>'Expected NPV &amp; Common Data'!O98</f>
        <v>0.25</v>
      </c>
      <c r="P732" s="262">
        <f>'Expected NPV &amp; Common Data'!P98</f>
        <v>0.25</v>
      </c>
      <c r="Q732" s="262">
        <f>'Expected NPV &amp; Common Data'!Q98</f>
        <v>0.25</v>
      </c>
      <c r="R732" s="262">
        <f>'Expected NPV &amp; Common Data'!R98</f>
        <v>0.25</v>
      </c>
      <c r="S732" s="262">
        <f>'Expected NPV &amp; Common Data'!S98</f>
        <v>0.25</v>
      </c>
      <c r="T732" s="262">
        <f>'Expected NPV &amp; Common Data'!T98</f>
        <v>0.25</v>
      </c>
      <c r="U732" s="262">
        <f>'Expected NPV &amp; Common Data'!U98</f>
        <v>0.25</v>
      </c>
      <c r="V732" s="262">
        <f>'Expected NPV &amp; Common Data'!V98</f>
        <v>0.25</v>
      </c>
      <c r="W732" s="262">
        <f>'Expected NPV &amp; Common Data'!W98</f>
        <v>0.25</v>
      </c>
      <c r="X732" s="262">
        <f>'Expected NPV &amp; Common Data'!X98</f>
        <v>0.25</v>
      </c>
      <c r="Y732" s="262">
        <f>'Expected NPV &amp; Common Data'!Y98</f>
        <v>0.25</v>
      </c>
      <c r="Z732" s="262">
        <f>'Expected NPV &amp; Common Data'!Z98</f>
        <v>0.25</v>
      </c>
      <c r="AA732" s="262">
        <f>'Expected NPV &amp; Common Data'!AA98</f>
        <v>0.25</v>
      </c>
      <c r="AB732" s="262">
        <f>'Expected NPV &amp; Common Data'!AB98</f>
        <v>0.25</v>
      </c>
      <c r="AC732" s="262">
        <f>'Expected NPV &amp; Common Data'!AC98</f>
        <v>0.25</v>
      </c>
      <c r="AD732" s="262">
        <f>'Expected NPV &amp; Common Data'!AD98</f>
        <v>0.25</v>
      </c>
    </row>
    <row r="733" spans="1:30" outlineLevel="1">
      <c r="A733" s="45" t="s">
        <v>147</v>
      </c>
      <c r="B733" s="13" t="s">
        <v>284</v>
      </c>
      <c r="C733" s="42">
        <f>SUM(D733:AD733)</f>
        <v>1025.295359152406</v>
      </c>
      <c r="D733" s="70">
        <f>D731*D732</f>
        <v>0</v>
      </c>
      <c r="E733" s="70">
        <f t="shared" ref="E733:AD733" si="310">E731*E732</f>
        <v>0</v>
      </c>
      <c r="F733" s="70">
        <f t="shared" si="310"/>
        <v>0</v>
      </c>
      <c r="G733" s="70">
        <f t="shared" si="310"/>
        <v>56.389727466139121</v>
      </c>
      <c r="H733" s="70">
        <f t="shared" si="310"/>
        <v>116.34955963816844</v>
      </c>
      <c r="I733" s="70">
        <f t="shared" si="310"/>
        <v>122.35975401282042</v>
      </c>
      <c r="J733" s="70">
        <f t="shared" si="310"/>
        <v>106.57923773984879</v>
      </c>
      <c r="K733" s="70">
        <f t="shared" si="310"/>
        <v>78.575912992646209</v>
      </c>
      <c r="L733" s="70">
        <f t="shared" si="310"/>
        <v>61.667384115699235</v>
      </c>
      <c r="M733" s="70">
        <f t="shared" si="310"/>
        <v>58.509434293221517</v>
      </c>
      <c r="N733" s="70">
        <f t="shared" si="310"/>
        <v>58.492109801573747</v>
      </c>
      <c r="O733" s="70">
        <f t="shared" si="310"/>
        <v>58.109304256386167</v>
      </c>
      <c r="P733" s="70">
        <f t="shared" si="310"/>
        <v>64.632684707604284</v>
      </c>
      <c r="Q733" s="70">
        <f t="shared" si="310"/>
        <v>56.65196333084225</v>
      </c>
      <c r="R733" s="70">
        <f t="shared" si="310"/>
        <v>55.008421488015841</v>
      </c>
      <c r="S733" s="70">
        <f t="shared" si="310"/>
        <v>70.938530738303342</v>
      </c>
      <c r="T733" s="70">
        <f t="shared" si="310"/>
        <v>61.031334571136455</v>
      </c>
      <c r="U733" s="70">
        <f t="shared" si="310"/>
        <v>0</v>
      </c>
      <c r="V733" s="70">
        <f t="shared" si="310"/>
        <v>0</v>
      </c>
      <c r="W733" s="70">
        <f t="shared" si="310"/>
        <v>0</v>
      </c>
      <c r="X733" s="70">
        <f t="shared" si="310"/>
        <v>0</v>
      </c>
      <c r="Y733" s="70">
        <f t="shared" si="310"/>
        <v>0</v>
      </c>
      <c r="Z733" s="70">
        <f t="shared" si="310"/>
        <v>0</v>
      </c>
      <c r="AA733" s="70">
        <f t="shared" si="310"/>
        <v>0</v>
      </c>
      <c r="AB733" s="70">
        <f t="shared" si="310"/>
        <v>0</v>
      </c>
      <c r="AC733" s="70">
        <f t="shared" si="310"/>
        <v>0</v>
      </c>
      <c r="AD733" s="70">
        <f t="shared" si="310"/>
        <v>0</v>
      </c>
    </row>
    <row r="734" spans="1:30" outlineLevel="1">
      <c r="A734" s="45"/>
      <c r="D734" s="42"/>
      <c r="E734" s="42"/>
      <c r="F734" s="42"/>
      <c r="G734" s="42"/>
      <c r="H734" s="42"/>
      <c r="I734" s="42"/>
      <c r="J734" s="42"/>
      <c r="K734" s="42"/>
      <c r="L734" s="42"/>
      <c r="M734" s="42"/>
      <c r="N734" s="42"/>
      <c r="O734" s="42"/>
      <c r="P734" s="42"/>
      <c r="Q734" s="42"/>
      <c r="R734" s="42"/>
      <c r="S734" s="42"/>
      <c r="T734" s="42"/>
      <c r="U734" s="42"/>
      <c r="V734" s="42"/>
      <c r="W734" s="42"/>
      <c r="X734" s="42"/>
      <c r="Y734" s="42"/>
      <c r="Z734" s="42"/>
      <c r="AA734" s="42"/>
      <c r="AB734" s="42"/>
      <c r="AC734" s="42"/>
      <c r="AD734" s="42"/>
    </row>
    <row r="735" spans="1:30" s="45" customFormat="1" ht="15.5" outlineLevel="1">
      <c r="A735" s="82" t="s">
        <v>402</v>
      </c>
      <c r="B735" s="13" t="s">
        <v>284</v>
      </c>
      <c r="C735" s="44">
        <f>SUM(D735:AD735)</f>
        <v>1029.4953591524056</v>
      </c>
      <c r="D735" s="83">
        <f t="shared" ref="D735:AD735" si="311">D729+D733</f>
        <v>0</v>
      </c>
      <c r="E735" s="83">
        <f t="shared" si="311"/>
        <v>0</v>
      </c>
      <c r="F735" s="83">
        <f t="shared" si="311"/>
        <v>0</v>
      </c>
      <c r="G735" s="83">
        <f t="shared" si="311"/>
        <v>56.689727466139118</v>
      </c>
      <c r="H735" s="83">
        <f t="shared" si="311"/>
        <v>116.64955963816844</v>
      </c>
      <c r="I735" s="83">
        <f t="shared" si="311"/>
        <v>122.65975401282041</v>
      </c>
      <c r="J735" s="83">
        <f t="shared" si="311"/>
        <v>106.87923773984879</v>
      </c>
      <c r="K735" s="83">
        <f t="shared" si="311"/>
        <v>78.875912992646207</v>
      </c>
      <c r="L735" s="83">
        <f t="shared" si="311"/>
        <v>61.967384115699232</v>
      </c>
      <c r="M735" s="83">
        <f t="shared" si="311"/>
        <v>58.809434293221514</v>
      </c>
      <c r="N735" s="83">
        <f t="shared" si="311"/>
        <v>58.792109801573744</v>
      </c>
      <c r="O735" s="83">
        <f t="shared" si="311"/>
        <v>58.409304256386164</v>
      </c>
      <c r="P735" s="83">
        <f t="shared" si="311"/>
        <v>64.932684707604281</v>
      </c>
      <c r="Q735" s="83">
        <f t="shared" si="311"/>
        <v>56.951963330842247</v>
      </c>
      <c r="R735" s="83">
        <f t="shared" si="311"/>
        <v>55.308421488015838</v>
      </c>
      <c r="S735" s="83">
        <f t="shared" si="311"/>
        <v>71.238530738303339</v>
      </c>
      <c r="T735" s="83">
        <f t="shared" si="311"/>
        <v>61.331334571136452</v>
      </c>
      <c r="U735" s="83">
        <f t="shared" si="311"/>
        <v>0</v>
      </c>
      <c r="V735" s="83">
        <f t="shared" si="311"/>
        <v>0</v>
      </c>
      <c r="W735" s="83">
        <f t="shared" si="311"/>
        <v>0</v>
      </c>
      <c r="X735" s="83">
        <f t="shared" si="311"/>
        <v>0</v>
      </c>
      <c r="Y735" s="83">
        <f t="shared" si="311"/>
        <v>0</v>
      </c>
      <c r="Z735" s="83">
        <f t="shared" si="311"/>
        <v>0</v>
      </c>
      <c r="AA735" s="83">
        <f t="shared" si="311"/>
        <v>0</v>
      </c>
      <c r="AB735" s="83">
        <f t="shared" si="311"/>
        <v>0</v>
      </c>
      <c r="AC735" s="83">
        <f t="shared" si="311"/>
        <v>0</v>
      </c>
      <c r="AD735" s="83">
        <f t="shared" si="311"/>
        <v>0</v>
      </c>
    </row>
    <row r="736" spans="1:30" s="45" customFormat="1" outlineLevel="1">
      <c r="A736" s="59"/>
      <c r="B736" s="13"/>
      <c r="C736" s="44"/>
      <c r="D736" s="44"/>
      <c r="E736" s="44"/>
      <c r="F736" s="44"/>
      <c r="G736" s="44"/>
      <c r="H736" s="44"/>
      <c r="I736" s="44"/>
      <c r="J736" s="44"/>
      <c r="K736" s="44"/>
      <c r="L736" s="44"/>
      <c r="M736" s="44"/>
      <c r="N736" s="44"/>
      <c r="O736" s="44"/>
      <c r="P736" s="44"/>
      <c r="Q736" s="44"/>
      <c r="R736" s="44"/>
      <c r="S736" s="44"/>
      <c r="T736" s="44"/>
      <c r="U736" s="44"/>
      <c r="V736" s="44"/>
      <c r="W736" s="44"/>
      <c r="X736" s="44"/>
      <c r="Y736" s="44"/>
      <c r="Z736" s="44"/>
      <c r="AA736" s="44"/>
      <c r="AB736" s="44"/>
      <c r="AC736" s="44"/>
      <c r="AD736" s="44"/>
    </row>
    <row r="737" spans="1:30" s="45" customFormat="1" ht="15.5" outlineLevel="1">
      <c r="A737" s="82" t="s">
        <v>404</v>
      </c>
      <c r="B737" s="13" t="s">
        <v>284</v>
      </c>
      <c r="C737" s="42">
        <f>SUM(D737:AD737)</f>
        <v>2247.2140044530652</v>
      </c>
      <c r="D737" s="44">
        <f t="shared" ref="D737:AD737" si="312">D696+D735</f>
        <v>0</v>
      </c>
      <c r="E737" s="44">
        <f t="shared" si="312"/>
        <v>0</v>
      </c>
      <c r="F737" s="44">
        <f t="shared" si="312"/>
        <v>47.715656029505325</v>
      </c>
      <c r="G737" s="44">
        <f t="shared" si="312"/>
        <v>142.31037125854428</v>
      </c>
      <c r="H737" s="44">
        <f t="shared" si="312"/>
        <v>208.27194139315864</v>
      </c>
      <c r="I737" s="44">
        <f t="shared" si="312"/>
        <v>214.27304228489621</v>
      </c>
      <c r="J737" s="44">
        <f t="shared" si="312"/>
        <v>201.73538668571456</v>
      </c>
      <c r="K737" s="44">
        <f t="shared" si="312"/>
        <v>163.59312885656044</v>
      </c>
      <c r="L737" s="44">
        <f t="shared" si="312"/>
        <v>142.89231910220832</v>
      </c>
      <c r="M737" s="44">
        <f t="shared" si="312"/>
        <v>139.29591397936059</v>
      </c>
      <c r="N737" s="44">
        <f t="shared" si="312"/>
        <v>139.26952992400507</v>
      </c>
      <c r="O737" s="44">
        <f t="shared" si="312"/>
        <v>138.87757421947265</v>
      </c>
      <c r="P737" s="44">
        <f t="shared" si="312"/>
        <v>146.98862716126786</v>
      </c>
      <c r="Q737" s="44">
        <f t="shared" si="312"/>
        <v>131.29604249385545</v>
      </c>
      <c r="R737" s="44">
        <f t="shared" si="312"/>
        <v>129.15731271696416</v>
      </c>
      <c r="S737" s="44">
        <f t="shared" si="312"/>
        <v>145.07821417669606</v>
      </c>
      <c r="T737" s="44">
        <f t="shared" si="312"/>
        <v>156.45894417085594</v>
      </c>
      <c r="U737" s="44">
        <f t="shared" si="312"/>
        <v>0</v>
      </c>
      <c r="V737" s="44">
        <f t="shared" si="312"/>
        <v>0</v>
      </c>
      <c r="W737" s="44">
        <f t="shared" si="312"/>
        <v>0</v>
      </c>
      <c r="X737" s="44">
        <f t="shared" si="312"/>
        <v>0</v>
      </c>
      <c r="Y737" s="44">
        <f t="shared" si="312"/>
        <v>0</v>
      </c>
      <c r="Z737" s="44">
        <f t="shared" si="312"/>
        <v>0</v>
      </c>
      <c r="AA737" s="44">
        <f t="shared" si="312"/>
        <v>0</v>
      </c>
      <c r="AB737" s="44">
        <f t="shared" si="312"/>
        <v>0</v>
      </c>
      <c r="AC737" s="44">
        <f t="shared" si="312"/>
        <v>0</v>
      </c>
      <c r="AD737" s="44">
        <f t="shared" si="312"/>
        <v>0</v>
      </c>
    </row>
    <row r="738" spans="1:30" outlineLevel="1">
      <c r="A738" s="144" t="str">
        <f>A$98</f>
        <v>Forex: A$ = US$  - High Case</v>
      </c>
      <c r="B738" s="142" t="str">
        <f>B$98</f>
        <v>A$1.00 = US$ ....</v>
      </c>
      <c r="C738" s="57"/>
      <c r="D738" s="57">
        <f t="shared" ref="D738:AD738" si="313">D$98</f>
        <v>0.9</v>
      </c>
      <c r="E738" s="57">
        <f t="shared" si="313"/>
        <v>0.9</v>
      </c>
      <c r="F738" s="57">
        <f t="shared" si="313"/>
        <v>0.9</v>
      </c>
      <c r="G738" s="57">
        <f t="shared" si="313"/>
        <v>0.9</v>
      </c>
      <c r="H738" s="57">
        <f t="shared" si="313"/>
        <v>0.9</v>
      </c>
      <c r="I738" s="57">
        <f t="shared" si="313"/>
        <v>0.9</v>
      </c>
      <c r="J738" s="57">
        <f t="shared" si="313"/>
        <v>0.9</v>
      </c>
      <c r="K738" s="57">
        <f t="shared" si="313"/>
        <v>0.9</v>
      </c>
      <c r="L738" s="57">
        <f t="shared" si="313"/>
        <v>0.9</v>
      </c>
      <c r="M738" s="57">
        <f t="shared" si="313"/>
        <v>0.9</v>
      </c>
      <c r="N738" s="57">
        <f t="shared" si="313"/>
        <v>0.9</v>
      </c>
      <c r="O738" s="57">
        <f t="shared" si="313"/>
        <v>0.9</v>
      </c>
      <c r="P738" s="57">
        <f t="shared" si="313"/>
        <v>0.9</v>
      </c>
      <c r="Q738" s="57">
        <f t="shared" si="313"/>
        <v>0.9</v>
      </c>
      <c r="R738" s="57">
        <f t="shared" si="313"/>
        <v>0.9</v>
      </c>
      <c r="S738" s="57">
        <f t="shared" si="313"/>
        <v>0.9</v>
      </c>
      <c r="T738" s="57">
        <f t="shared" si="313"/>
        <v>0.9</v>
      </c>
      <c r="U738" s="57">
        <f t="shared" si="313"/>
        <v>0.9</v>
      </c>
      <c r="V738" s="57">
        <f t="shared" si="313"/>
        <v>0.9</v>
      </c>
      <c r="W738" s="57">
        <f t="shared" si="313"/>
        <v>0.9</v>
      </c>
      <c r="X738" s="57">
        <f t="shared" si="313"/>
        <v>0.9</v>
      </c>
      <c r="Y738" s="57">
        <f t="shared" si="313"/>
        <v>0.9</v>
      </c>
      <c r="Z738" s="57">
        <f t="shared" si="313"/>
        <v>0.9</v>
      </c>
      <c r="AA738" s="57">
        <f t="shared" si="313"/>
        <v>0.9</v>
      </c>
      <c r="AB738" s="57">
        <f t="shared" si="313"/>
        <v>0.9</v>
      </c>
      <c r="AC738" s="57">
        <f t="shared" si="313"/>
        <v>0.9</v>
      </c>
      <c r="AD738" s="57">
        <f t="shared" si="313"/>
        <v>0.9</v>
      </c>
    </row>
    <row r="739" spans="1:30" s="25" customFormat="1" ht="37.25" customHeight="1">
      <c r="A739" s="26" t="str">
        <f>"Cashstream 4: Taxes - "&amp;A3</f>
        <v>Cashstream 4: Taxes - High Case</v>
      </c>
      <c r="B739" s="32" t="s">
        <v>82</v>
      </c>
      <c r="C739" s="27">
        <f>SUM(D739:AD739)</f>
        <v>2022.4926040077592</v>
      </c>
      <c r="D739" s="129">
        <f>D737*D738</f>
        <v>0</v>
      </c>
      <c r="E739" s="129">
        <f t="shared" ref="E739:AD739" si="314">E737*E738</f>
        <v>0</v>
      </c>
      <c r="F739" s="129">
        <f t="shared" si="314"/>
        <v>42.944090426554794</v>
      </c>
      <c r="G739" s="129">
        <f t="shared" si="314"/>
        <v>128.07933413268987</v>
      </c>
      <c r="H739" s="129">
        <f t="shared" si="314"/>
        <v>187.44474725384279</v>
      </c>
      <c r="I739" s="129">
        <f t="shared" si="314"/>
        <v>192.84573805640659</v>
      </c>
      <c r="J739" s="129">
        <f t="shared" si="314"/>
        <v>181.56184801714312</v>
      </c>
      <c r="K739" s="129">
        <f t="shared" si="314"/>
        <v>147.2338159709044</v>
      </c>
      <c r="L739" s="129">
        <f t="shared" si="314"/>
        <v>128.6030871919875</v>
      </c>
      <c r="M739" s="129">
        <f t="shared" si="314"/>
        <v>125.36632258142454</v>
      </c>
      <c r="N739" s="129">
        <f t="shared" si="314"/>
        <v>125.34257693160457</v>
      </c>
      <c r="O739" s="129">
        <f t="shared" si="314"/>
        <v>124.98981679752539</v>
      </c>
      <c r="P739" s="129">
        <f t="shared" si="314"/>
        <v>132.28976444514109</v>
      </c>
      <c r="Q739" s="129">
        <f t="shared" si="314"/>
        <v>118.16643824446992</v>
      </c>
      <c r="R739" s="129">
        <f t="shared" si="314"/>
        <v>116.24158144526774</v>
      </c>
      <c r="S739" s="129">
        <f t="shared" si="314"/>
        <v>130.57039275902648</v>
      </c>
      <c r="T739" s="129">
        <f t="shared" si="314"/>
        <v>140.81304975377034</v>
      </c>
      <c r="U739" s="129">
        <f t="shared" si="314"/>
        <v>0</v>
      </c>
      <c r="V739" s="129">
        <f t="shared" si="314"/>
        <v>0</v>
      </c>
      <c r="W739" s="129">
        <f t="shared" si="314"/>
        <v>0</v>
      </c>
      <c r="X739" s="129">
        <f t="shared" si="314"/>
        <v>0</v>
      </c>
      <c r="Y739" s="129">
        <f t="shared" si="314"/>
        <v>0</v>
      </c>
      <c r="Z739" s="129">
        <f t="shared" si="314"/>
        <v>0</v>
      </c>
      <c r="AA739" s="129">
        <f t="shared" si="314"/>
        <v>0</v>
      </c>
      <c r="AB739" s="129">
        <f t="shared" si="314"/>
        <v>0</v>
      </c>
      <c r="AC739" s="129">
        <f t="shared" si="314"/>
        <v>0</v>
      </c>
      <c r="AD739" s="129">
        <f t="shared" si="314"/>
        <v>0</v>
      </c>
    </row>
    <row r="740" spans="1:30">
      <c r="A740" s="14"/>
      <c r="D740" s="15"/>
      <c r="E740" s="15"/>
      <c r="F740" s="15"/>
      <c r="G740" s="15"/>
      <c r="H740" s="15"/>
      <c r="I740" s="15"/>
      <c r="J740" s="15"/>
      <c r="K740" s="15"/>
      <c r="L740" s="15"/>
      <c r="M740" s="15"/>
      <c r="N740" s="15"/>
      <c r="O740" s="15"/>
      <c r="P740" s="15"/>
      <c r="Q740" s="15"/>
      <c r="R740" s="15"/>
      <c r="S740" s="15"/>
      <c r="T740" s="15"/>
      <c r="U740" s="15"/>
      <c r="V740" s="15"/>
      <c r="W740" s="15"/>
      <c r="X740" s="15"/>
      <c r="Y740" s="15"/>
      <c r="Z740" s="15"/>
      <c r="AA740" s="15"/>
      <c r="AB740" s="15"/>
      <c r="AC740" s="15"/>
      <c r="AD740" s="15"/>
    </row>
    <row r="741" spans="1:30" s="8" customFormat="1" ht="15.5">
      <c r="A741" s="242" t="str">
        <f>'Expected NPV &amp; Common Data'!A$36</f>
        <v>Calendar Year --&gt;</v>
      </c>
      <c r="B741" s="243" t="str">
        <f>'Expected NPV &amp; Common Data'!B$36</f>
        <v>units</v>
      </c>
      <c r="C741" s="244" t="str">
        <f>'Expected NPV &amp; Common Data'!C$36</f>
        <v>Total</v>
      </c>
      <c r="D741" s="245">
        <f>'Expected NPV &amp; Common Data'!D$36</f>
        <v>2027</v>
      </c>
      <c r="E741" s="245">
        <f>'Expected NPV &amp; Common Data'!E$36</f>
        <v>2028</v>
      </c>
      <c r="F741" s="245">
        <f>'Expected NPV &amp; Common Data'!F$36</f>
        <v>2029</v>
      </c>
      <c r="G741" s="245">
        <f>'Expected NPV &amp; Common Data'!G$36</f>
        <v>2030</v>
      </c>
      <c r="H741" s="245">
        <f>'Expected NPV &amp; Common Data'!H$36</f>
        <v>2031</v>
      </c>
      <c r="I741" s="245">
        <f>'Expected NPV &amp; Common Data'!I$36</f>
        <v>2032</v>
      </c>
      <c r="J741" s="245">
        <f>'Expected NPV &amp; Common Data'!J$36</f>
        <v>2033</v>
      </c>
      <c r="K741" s="245">
        <f>'Expected NPV &amp; Common Data'!K$36</f>
        <v>2034</v>
      </c>
      <c r="L741" s="245">
        <f>'Expected NPV &amp; Common Data'!L$36</f>
        <v>2035</v>
      </c>
      <c r="M741" s="245">
        <f>'Expected NPV &amp; Common Data'!M$36</f>
        <v>2036</v>
      </c>
      <c r="N741" s="245">
        <f>'Expected NPV &amp; Common Data'!N$36</f>
        <v>2037</v>
      </c>
      <c r="O741" s="245">
        <f>'Expected NPV &amp; Common Data'!O$36</f>
        <v>2038</v>
      </c>
      <c r="P741" s="245">
        <f>'Expected NPV &amp; Common Data'!P$36</f>
        <v>2039</v>
      </c>
      <c r="Q741" s="245">
        <f>'Expected NPV &amp; Common Data'!Q$36</f>
        <v>2040</v>
      </c>
      <c r="R741" s="245">
        <f>'Expected NPV &amp; Common Data'!R$36</f>
        <v>2041</v>
      </c>
      <c r="S741" s="245">
        <f>'Expected NPV &amp; Common Data'!S$36</f>
        <v>2042</v>
      </c>
      <c r="T741" s="245">
        <f>'Expected NPV &amp; Common Data'!T$36</f>
        <v>2043</v>
      </c>
      <c r="U741" s="245">
        <f>'Expected NPV &amp; Common Data'!U$36</f>
        <v>2044</v>
      </c>
      <c r="V741" s="245">
        <f>'Expected NPV &amp; Common Data'!V$36</f>
        <v>2045</v>
      </c>
      <c r="W741" s="245">
        <f>'Expected NPV &amp; Common Data'!W$36</f>
        <v>2046</v>
      </c>
      <c r="X741" s="245">
        <f>'Expected NPV &amp; Common Data'!X$36</f>
        <v>2047</v>
      </c>
      <c r="Y741" s="245">
        <f>'Expected NPV &amp; Common Data'!Y$36</f>
        <v>2048</v>
      </c>
      <c r="Z741" s="245">
        <f>'Expected NPV &amp; Common Data'!Z$36</f>
        <v>2049</v>
      </c>
      <c r="AA741" s="245">
        <f>'Expected NPV &amp; Common Data'!AA$36</f>
        <v>2050</v>
      </c>
      <c r="AB741" s="245">
        <f>'Expected NPV &amp; Common Data'!AB$36</f>
        <v>2051</v>
      </c>
      <c r="AC741" s="245">
        <f>'Expected NPV &amp; Common Data'!AC$36</f>
        <v>2052</v>
      </c>
      <c r="AD741" s="245">
        <f>'Expected NPV &amp; Common Data'!AD$36</f>
        <v>2053</v>
      </c>
    </row>
    <row r="742" spans="1:30" ht="38.5" customHeight="1">
      <c r="A742" s="249" t="s">
        <v>568</v>
      </c>
      <c r="B742" s="250"/>
      <c r="C742" s="251"/>
      <c r="D742" s="252"/>
      <c r="E742" s="13"/>
      <c r="F742" s="15"/>
      <c r="G742" s="15"/>
      <c r="H742" s="15"/>
      <c r="I742" s="15"/>
      <c r="J742" s="15"/>
      <c r="K742" s="15"/>
      <c r="L742" s="15"/>
      <c r="M742" s="15"/>
      <c r="N742" s="15"/>
      <c r="O742" s="15"/>
      <c r="P742" s="15"/>
      <c r="Q742" s="15"/>
      <c r="R742" s="15"/>
      <c r="S742" s="15"/>
      <c r="T742" s="15"/>
      <c r="U742" s="15"/>
      <c r="V742" s="15"/>
      <c r="W742" s="15"/>
      <c r="X742" s="15"/>
      <c r="Y742" s="15"/>
      <c r="Z742" s="15"/>
      <c r="AA742" s="15"/>
      <c r="AB742" s="15"/>
      <c r="AC742" s="15"/>
      <c r="AD742" s="15"/>
    </row>
    <row r="743" spans="1:30" ht="15.5">
      <c r="A743" s="97" t="s">
        <v>21</v>
      </c>
      <c r="D743" s="15"/>
      <c r="E743" s="15"/>
      <c r="F743" s="15"/>
      <c r="G743" s="15"/>
      <c r="H743" s="15"/>
      <c r="I743" s="15"/>
      <c r="J743" s="15"/>
      <c r="K743" s="15"/>
      <c r="L743" s="15"/>
      <c r="M743" s="15"/>
      <c r="N743" s="15"/>
      <c r="O743" s="15"/>
      <c r="P743" s="15"/>
      <c r="Q743" s="15"/>
      <c r="R743" s="15"/>
      <c r="S743" s="15"/>
      <c r="T743" s="15"/>
      <c r="U743" s="15"/>
      <c r="V743" s="15"/>
      <c r="W743" s="15"/>
      <c r="X743" s="15"/>
      <c r="Y743" s="15"/>
      <c r="Z743" s="15"/>
      <c r="AA743" s="15"/>
      <c r="AB743" s="15"/>
      <c r="AC743" s="15"/>
      <c r="AD743" s="15"/>
    </row>
    <row r="744" spans="1:30" s="73" customFormat="1">
      <c r="A744" s="72" t="str">
        <f>A311</f>
        <v>Cashstream 1: Revenue - High Case</v>
      </c>
      <c r="B744" s="73" t="str">
        <f>B311</f>
        <v>US$ millions Real</v>
      </c>
      <c r="C744" s="74">
        <f>SUM(D744:AD744)</f>
        <v>12493.442456956995</v>
      </c>
      <c r="D744" s="74">
        <f t="shared" ref="D744:AD744" si="315">D311</f>
        <v>0</v>
      </c>
      <c r="E744" s="74">
        <f t="shared" si="315"/>
        <v>0</v>
      </c>
      <c r="F744" s="74">
        <f t="shared" si="315"/>
        <v>466.69688919049167</v>
      </c>
      <c r="G744" s="74">
        <f t="shared" si="315"/>
        <v>882.3708635567175</v>
      </c>
      <c r="H744" s="74">
        <f t="shared" si="315"/>
        <v>976.40852663075941</v>
      </c>
      <c r="I744" s="74">
        <f t="shared" si="315"/>
        <v>981.83143875469102</v>
      </c>
      <c r="J744" s="74">
        <f t="shared" si="315"/>
        <v>1013.6516811994971</v>
      </c>
      <c r="K744" s="74">
        <f t="shared" si="315"/>
        <v>900.29771253107015</v>
      </c>
      <c r="L744" s="74">
        <f t="shared" si="315"/>
        <v>830.71201988281132</v>
      </c>
      <c r="M744" s="74">
        <f t="shared" si="315"/>
        <v>816.57419980685347</v>
      </c>
      <c r="N744" s="74">
        <f t="shared" si="315"/>
        <v>815.78272173121297</v>
      </c>
      <c r="O744" s="74">
        <f t="shared" si="315"/>
        <v>815.78272173121297</v>
      </c>
      <c r="P744" s="74">
        <f t="shared" si="315"/>
        <v>840.33865763016559</v>
      </c>
      <c r="Q744" s="74">
        <f t="shared" si="315"/>
        <v>732.55236879211225</v>
      </c>
      <c r="R744" s="74">
        <f t="shared" si="315"/>
        <v>718.36617670056739</v>
      </c>
      <c r="S744" s="74">
        <f t="shared" si="315"/>
        <v>717.97781015627129</v>
      </c>
      <c r="T744" s="74">
        <f t="shared" si="315"/>
        <v>984.09866866256061</v>
      </c>
      <c r="U744" s="74">
        <f t="shared" si="315"/>
        <v>0</v>
      </c>
      <c r="V744" s="74">
        <f t="shared" si="315"/>
        <v>0</v>
      </c>
      <c r="W744" s="74">
        <f t="shared" si="315"/>
        <v>0</v>
      </c>
      <c r="X744" s="74">
        <f t="shared" si="315"/>
        <v>0</v>
      </c>
      <c r="Y744" s="74">
        <f t="shared" si="315"/>
        <v>0</v>
      </c>
      <c r="Z744" s="74">
        <f t="shared" si="315"/>
        <v>0</v>
      </c>
      <c r="AA744" s="74">
        <f t="shared" si="315"/>
        <v>0</v>
      </c>
      <c r="AB744" s="74">
        <f t="shared" si="315"/>
        <v>0</v>
      </c>
      <c r="AC744" s="74">
        <f t="shared" si="315"/>
        <v>0</v>
      </c>
      <c r="AD744" s="74">
        <f t="shared" si="315"/>
        <v>0</v>
      </c>
    </row>
    <row r="745" spans="1:30" s="73" customFormat="1">
      <c r="A745" s="72" t="str">
        <f>A359</f>
        <v>Cashstream 2: Capital Costs - High Case</v>
      </c>
      <c r="B745" s="73" t="str">
        <f>B359</f>
        <v>US$ millions Real</v>
      </c>
      <c r="C745" s="74">
        <f>SUM(D745:AD745)</f>
        <v>1134.54</v>
      </c>
      <c r="D745" s="74">
        <f t="shared" ref="D745:AD745" si="316">D359</f>
        <v>238.5</v>
      </c>
      <c r="E745" s="74">
        <f t="shared" si="316"/>
        <v>450</v>
      </c>
      <c r="F745" s="74">
        <f t="shared" si="316"/>
        <v>79.056000000000012</v>
      </c>
      <c r="G745" s="74">
        <f t="shared" si="316"/>
        <v>22.356000000000002</v>
      </c>
      <c r="H745" s="74">
        <f t="shared" si="316"/>
        <v>22.356000000000002</v>
      </c>
      <c r="I745" s="74">
        <f t="shared" si="316"/>
        <v>44.856000000000002</v>
      </c>
      <c r="J745" s="74">
        <f t="shared" si="316"/>
        <v>22.356000000000002</v>
      </c>
      <c r="K745" s="74">
        <f t="shared" si="316"/>
        <v>22.356000000000002</v>
      </c>
      <c r="L745" s="74">
        <f t="shared" si="316"/>
        <v>22.356000000000002</v>
      </c>
      <c r="M745" s="74">
        <f t="shared" si="316"/>
        <v>40.356000000000002</v>
      </c>
      <c r="N745" s="74">
        <f t="shared" si="316"/>
        <v>22.356000000000002</v>
      </c>
      <c r="O745" s="74">
        <f t="shared" si="316"/>
        <v>22.356000000000002</v>
      </c>
      <c r="P745" s="74">
        <f t="shared" si="316"/>
        <v>22.356000000000002</v>
      </c>
      <c r="Q745" s="74">
        <f t="shared" si="316"/>
        <v>35.856000000000002</v>
      </c>
      <c r="R745" s="74">
        <f t="shared" si="316"/>
        <v>22.356000000000002</v>
      </c>
      <c r="S745" s="74">
        <f t="shared" si="316"/>
        <v>22.356000000000002</v>
      </c>
      <c r="T745" s="74">
        <f t="shared" si="316"/>
        <v>22.356000000000002</v>
      </c>
      <c r="U745" s="74">
        <f t="shared" si="316"/>
        <v>0</v>
      </c>
      <c r="V745" s="74">
        <f t="shared" si="316"/>
        <v>0</v>
      </c>
      <c r="W745" s="74">
        <f t="shared" si="316"/>
        <v>0</v>
      </c>
      <c r="X745" s="74">
        <f t="shared" si="316"/>
        <v>0</v>
      </c>
      <c r="Y745" s="74">
        <f t="shared" si="316"/>
        <v>0</v>
      </c>
      <c r="Z745" s="74">
        <f t="shared" si="316"/>
        <v>0</v>
      </c>
      <c r="AA745" s="74">
        <f t="shared" si="316"/>
        <v>0</v>
      </c>
      <c r="AB745" s="74">
        <f t="shared" si="316"/>
        <v>0</v>
      </c>
      <c r="AC745" s="74">
        <f t="shared" si="316"/>
        <v>0</v>
      </c>
      <c r="AD745" s="74">
        <f t="shared" si="316"/>
        <v>0</v>
      </c>
    </row>
    <row r="746" spans="1:30" s="73" customFormat="1">
      <c r="A746" s="72" t="str">
        <f>A649</f>
        <v>Cashstream 3: Operating Costs - High Case</v>
      </c>
      <c r="B746" s="73" t="str">
        <f>B649</f>
        <v>US$ millions Real</v>
      </c>
      <c r="C746" s="74">
        <f>SUM(D746:AD746)</f>
        <v>6571.9144284554895</v>
      </c>
      <c r="D746" s="74">
        <f t="shared" ref="D746:AD746" si="317">D649</f>
        <v>3.42</v>
      </c>
      <c r="E746" s="74">
        <f t="shared" si="317"/>
        <v>127.44000000000003</v>
      </c>
      <c r="F746" s="74">
        <f t="shared" si="317"/>
        <v>250.93580605459056</v>
      </c>
      <c r="G746" s="74">
        <f t="shared" si="317"/>
        <v>290.66619849274497</v>
      </c>
      <c r="H746" s="74">
        <f t="shared" si="317"/>
        <v>373.30840250885632</v>
      </c>
      <c r="I746" s="74">
        <f t="shared" si="317"/>
        <v>376.45497385476597</v>
      </c>
      <c r="J746" s="74">
        <f t="shared" si="317"/>
        <v>484.3793056230092</v>
      </c>
      <c r="K746" s="74">
        <f t="shared" si="317"/>
        <v>480.38422241584703</v>
      </c>
      <c r="L746" s="74">
        <f t="shared" si="317"/>
        <v>488.56826392936637</v>
      </c>
      <c r="M746" s="74">
        <f t="shared" si="317"/>
        <v>493.06087586250243</v>
      </c>
      <c r="N746" s="74">
        <f t="shared" si="317"/>
        <v>497.55427616482251</v>
      </c>
      <c r="O746" s="74">
        <f t="shared" si="317"/>
        <v>502.0485104701657</v>
      </c>
      <c r="P746" s="74">
        <f t="shared" si="317"/>
        <v>506.10797766464987</v>
      </c>
      <c r="Q746" s="74">
        <f t="shared" si="317"/>
        <v>421.12096527945818</v>
      </c>
      <c r="R746" s="74">
        <f t="shared" si="317"/>
        <v>424.41560375811559</v>
      </c>
      <c r="S746" s="74">
        <f t="shared" si="317"/>
        <v>368.33847387311624</v>
      </c>
      <c r="T746" s="74">
        <f t="shared" si="317"/>
        <v>483.71057250347832</v>
      </c>
      <c r="U746" s="74">
        <f t="shared" si="317"/>
        <v>0</v>
      </c>
      <c r="V746" s="74">
        <f t="shared" si="317"/>
        <v>0</v>
      </c>
      <c r="W746" s="74">
        <f t="shared" si="317"/>
        <v>0</v>
      </c>
      <c r="X746" s="74">
        <f t="shared" si="317"/>
        <v>0</v>
      </c>
      <c r="Y746" s="74">
        <f t="shared" si="317"/>
        <v>0</v>
      </c>
      <c r="Z746" s="74">
        <f t="shared" si="317"/>
        <v>0</v>
      </c>
      <c r="AA746" s="74">
        <f t="shared" si="317"/>
        <v>0</v>
      </c>
      <c r="AB746" s="74">
        <f t="shared" si="317"/>
        <v>0</v>
      </c>
      <c r="AC746" s="74">
        <f t="shared" si="317"/>
        <v>0</v>
      </c>
      <c r="AD746" s="74">
        <f t="shared" si="317"/>
        <v>0</v>
      </c>
    </row>
    <row r="747" spans="1:30" s="73" customFormat="1">
      <c r="A747" s="72" t="str">
        <f>A739</f>
        <v>Cashstream 4: Taxes - High Case</v>
      </c>
      <c r="B747" s="73" t="str">
        <f>B739</f>
        <v>US$ millions Real</v>
      </c>
      <c r="C747" s="74">
        <f>SUM(D747:AD747)</f>
        <v>2022.4926040077592</v>
      </c>
      <c r="D747" s="74">
        <f t="shared" ref="D747:AD747" si="318">D739</f>
        <v>0</v>
      </c>
      <c r="E747" s="74">
        <f t="shared" si="318"/>
        <v>0</v>
      </c>
      <c r="F747" s="74">
        <f t="shared" si="318"/>
        <v>42.944090426554794</v>
      </c>
      <c r="G747" s="74">
        <f t="shared" si="318"/>
        <v>128.07933413268987</v>
      </c>
      <c r="H747" s="74">
        <f t="shared" si="318"/>
        <v>187.44474725384279</v>
      </c>
      <c r="I747" s="74">
        <f t="shared" si="318"/>
        <v>192.84573805640659</v>
      </c>
      <c r="J747" s="74">
        <f t="shared" si="318"/>
        <v>181.56184801714312</v>
      </c>
      <c r="K747" s="74">
        <f t="shared" si="318"/>
        <v>147.2338159709044</v>
      </c>
      <c r="L747" s="74">
        <f t="shared" si="318"/>
        <v>128.6030871919875</v>
      </c>
      <c r="M747" s="74">
        <f t="shared" si="318"/>
        <v>125.36632258142454</v>
      </c>
      <c r="N747" s="74">
        <f t="shared" si="318"/>
        <v>125.34257693160457</v>
      </c>
      <c r="O747" s="74">
        <f t="shared" si="318"/>
        <v>124.98981679752539</v>
      </c>
      <c r="P747" s="74">
        <f t="shared" si="318"/>
        <v>132.28976444514109</v>
      </c>
      <c r="Q747" s="74">
        <f t="shared" si="318"/>
        <v>118.16643824446992</v>
      </c>
      <c r="R747" s="74">
        <f t="shared" si="318"/>
        <v>116.24158144526774</v>
      </c>
      <c r="S747" s="74">
        <f t="shared" si="318"/>
        <v>130.57039275902648</v>
      </c>
      <c r="T747" s="74">
        <f t="shared" si="318"/>
        <v>140.81304975377034</v>
      </c>
      <c r="U747" s="74">
        <f t="shared" si="318"/>
        <v>0</v>
      </c>
      <c r="V747" s="74">
        <f t="shared" si="318"/>
        <v>0</v>
      </c>
      <c r="W747" s="74">
        <f t="shared" si="318"/>
        <v>0</v>
      </c>
      <c r="X747" s="74">
        <f t="shared" si="318"/>
        <v>0</v>
      </c>
      <c r="Y747" s="74">
        <f t="shared" si="318"/>
        <v>0</v>
      </c>
      <c r="Z747" s="74">
        <f t="shared" si="318"/>
        <v>0</v>
      </c>
      <c r="AA747" s="74">
        <f t="shared" si="318"/>
        <v>0</v>
      </c>
      <c r="AB747" s="74">
        <f t="shared" si="318"/>
        <v>0</v>
      </c>
      <c r="AC747" s="74">
        <f t="shared" si="318"/>
        <v>0</v>
      </c>
      <c r="AD747" s="74">
        <f t="shared" si="318"/>
        <v>0</v>
      </c>
    </row>
    <row r="748" spans="1:30" s="25" customFormat="1" ht="37.25" customHeight="1" thickBot="1">
      <c r="A748" s="26" t="str">
        <f>"Cash Generation - "&amp;A3</f>
        <v>Cash Generation - High Case</v>
      </c>
      <c r="B748" s="32" t="s">
        <v>82</v>
      </c>
      <c r="C748" s="130">
        <f>SUM(D748:AD748)</f>
        <v>2764.4954244937462</v>
      </c>
      <c r="D748" s="131">
        <f t="shared" ref="D748:AD748" si="319">D744-D745-D746-D747</f>
        <v>-241.92</v>
      </c>
      <c r="E748" s="131">
        <f t="shared" si="319"/>
        <v>-577.44000000000005</v>
      </c>
      <c r="F748" s="131">
        <f t="shared" si="319"/>
        <v>93.760992709346283</v>
      </c>
      <c r="G748" s="131">
        <f t="shared" si="319"/>
        <v>441.26933093128264</v>
      </c>
      <c r="H748" s="131">
        <f t="shared" si="319"/>
        <v>393.29937686806022</v>
      </c>
      <c r="I748" s="131">
        <f t="shared" si="319"/>
        <v>367.67472684351844</v>
      </c>
      <c r="J748" s="131">
        <f t="shared" si="319"/>
        <v>325.35452755934483</v>
      </c>
      <c r="K748" s="131">
        <f t="shared" si="319"/>
        <v>250.32367414431872</v>
      </c>
      <c r="L748" s="131">
        <f t="shared" si="319"/>
        <v>191.18466876145746</v>
      </c>
      <c r="M748" s="131">
        <f t="shared" si="319"/>
        <v>157.79100136292652</v>
      </c>
      <c r="N748" s="131">
        <f t="shared" si="319"/>
        <v>170.52986863478588</v>
      </c>
      <c r="O748" s="131">
        <f t="shared" si="319"/>
        <v>166.38839446352188</v>
      </c>
      <c r="P748" s="131">
        <f t="shared" si="319"/>
        <v>179.58491552037464</v>
      </c>
      <c r="Q748" s="131">
        <f t="shared" si="319"/>
        <v>157.40896526818415</v>
      </c>
      <c r="R748" s="131">
        <f t="shared" si="319"/>
        <v>155.35299149718406</v>
      </c>
      <c r="S748" s="131">
        <f t="shared" si="319"/>
        <v>196.71294352412858</v>
      </c>
      <c r="T748" s="131">
        <f t="shared" si="319"/>
        <v>337.21904640531193</v>
      </c>
      <c r="U748" s="131">
        <f t="shared" si="319"/>
        <v>0</v>
      </c>
      <c r="V748" s="131">
        <f t="shared" si="319"/>
        <v>0</v>
      </c>
      <c r="W748" s="131">
        <f t="shared" si="319"/>
        <v>0</v>
      </c>
      <c r="X748" s="131">
        <f t="shared" si="319"/>
        <v>0</v>
      </c>
      <c r="Y748" s="131">
        <f t="shared" si="319"/>
        <v>0</v>
      </c>
      <c r="Z748" s="131">
        <f t="shared" si="319"/>
        <v>0</v>
      </c>
      <c r="AA748" s="131">
        <f t="shared" si="319"/>
        <v>0</v>
      </c>
      <c r="AB748" s="131">
        <f t="shared" si="319"/>
        <v>0</v>
      </c>
      <c r="AC748" s="131">
        <f t="shared" si="319"/>
        <v>0</v>
      </c>
      <c r="AD748" s="131">
        <f t="shared" si="319"/>
        <v>0</v>
      </c>
    </row>
    <row r="749" spans="1:30" s="73" customFormat="1" ht="13.5" thickBot="1">
      <c r="A749" s="72" t="s">
        <v>541</v>
      </c>
      <c r="C749" s="74"/>
      <c r="D749" s="156">
        <f>D748</f>
        <v>-241.92</v>
      </c>
      <c r="E749" s="74">
        <f t="shared" ref="E749:AD749" si="320">D749+E748</f>
        <v>-819.36</v>
      </c>
      <c r="F749" s="74">
        <f t="shared" si="320"/>
        <v>-725.59900729065373</v>
      </c>
      <c r="G749" s="74">
        <f t="shared" si="320"/>
        <v>-284.32967635937109</v>
      </c>
      <c r="H749" s="74">
        <f t="shared" si="320"/>
        <v>108.96970050868913</v>
      </c>
      <c r="I749" s="74">
        <f t="shared" si="320"/>
        <v>476.64442735220757</v>
      </c>
      <c r="J749" s="74">
        <f t="shared" si="320"/>
        <v>801.99895491155235</v>
      </c>
      <c r="K749" s="74">
        <f t="shared" si="320"/>
        <v>1052.3226290558709</v>
      </c>
      <c r="L749" s="74">
        <f t="shared" si="320"/>
        <v>1243.5072978173284</v>
      </c>
      <c r="M749" s="74">
        <f t="shared" si="320"/>
        <v>1401.2982991802551</v>
      </c>
      <c r="N749" s="74">
        <f t="shared" si="320"/>
        <v>1571.8281678150411</v>
      </c>
      <c r="O749" s="74">
        <f t="shared" si="320"/>
        <v>1738.2165622785628</v>
      </c>
      <c r="P749" s="74">
        <f t="shared" si="320"/>
        <v>1917.8014777989374</v>
      </c>
      <c r="Q749" s="74">
        <f t="shared" si="320"/>
        <v>2075.2104430671216</v>
      </c>
      <c r="R749" s="74">
        <f t="shared" si="320"/>
        <v>2230.5634345643057</v>
      </c>
      <c r="S749" s="74">
        <f t="shared" si="320"/>
        <v>2427.2763780884343</v>
      </c>
      <c r="T749" s="74">
        <f t="shared" si="320"/>
        <v>2764.4954244937462</v>
      </c>
      <c r="U749" s="74">
        <f t="shared" si="320"/>
        <v>2764.4954244937462</v>
      </c>
      <c r="V749" s="74">
        <f t="shared" si="320"/>
        <v>2764.4954244937462</v>
      </c>
      <c r="W749" s="74">
        <f t="shared" si="320"/>
        <v>2764.4954244937462</v>
      </c>
      <c r="X749" s="74">
        <f t="shared" si="320"/>
        <v>2764.4954244937462</v>
      </c>
      <c r="Y749" s="74">
        <f t="shared" si="320"/>
        <v>2764.4954244937462</v>
      </c>
      <c r="Z749" s="74">
        <f t="shared" si="320"/>
        <v>2764.4954244937462</v>
      </c>
      <c r="AA749" s="74">
        <f t="shared" si="320"/>
        <v>2764.4954244937462</v>
      </c>
      <c r="AB749" s="74">
        <f t="shared" si="320"/>
        <v>2764.4954244937462</v>
      </c>
      <c r="AC749" s="74">
        <f t="shared" si="320"/>
        <v>2764.4954244937462</v>
      </c>
      <c r="AD749" s="74">
        <f t="shared" si="320"/>
        <v>2764.4954244937462</v>
      </c>
    </row>
    <row r="750" spans="1:30" s="45" customFormat="1" ht="18.5">
      <c r="A750" s="103"/>
      <c r="B750" s="96"/>
      <c r="C750" s="102"/>
      <c r="D750" s="102"/>
      <c r="E750" s="102"/>
      <c r="F750" s="102"/>
      <c r="G750" s="102"/>
      <c r="H750" s="102"/>
      <c r="I750" s="102"/>
      <c r="J750" s="102"/>
      <c r="K750" s="102"/>
      <c r="L750" s="102"/>
      <c r="M750" s="102"/>
      <c r="N750" s="102"/>
      <c r="O750" s="102"/>
      <c r="P750" s="102"/>
      <c r="Q750" s="102"/>
      <c r="R750" s="102"/>
      <c r="S750" s="102"/>
      <c r="T750" s="102"/>
      <c r="U750" s="102"/>
      <c r="V750" s="102"/>
      <c r="W750" s="102"/>
      <c r="X750" s="102"/>
      <c r="Y750" s="102"/>
      <c r="Z750" s="102"/>
      <c r="AA750" s="102"/>
      <c r="AB750" s="102"/>
      <c r="AC750" s="102"/>
      <c r="AD750" s="102"/>
    </row>
    <row r="751" spans="1:30" ht="16" thickBot="1">
      <c r="A751" s="97" t="s">
        <v>569</v>
      </c>
      <c r="D751" s="15"/>
      <c r="E751" s="15"/>
      <c r="F751" s="15"/>
      <c r="G751" s="15"/>
      <c r="H751" s="15"/>
      <c r="I751" s="15"/>
      <c r="J751" s="15"/>
      <c r="K751" s="15"/>
      <c r="L751" s="15"/>
      <c r="M751" s="15"/>
      <c r="N751" s="15"/>
      <c r="O751" s="15"/>
      <c r="P751" s="15"/>
      <c r="Q751" s="15"/>
      <c r="R751" s="15"/>
      <c r="S751" s="15"/>
      <c r="T751" s="15"/>
      <c r="U751" s="15"/>
      <c r="V751" s="15"/>
      <c r="W751" s="15"/>
      <c r="X751" s="15"/>
      <c r="Y751" s="15"/>
      <c r="Z751" s="15"/>
      <c r="AA751" s="15"/>
      <c r="AB751" s="15"/>
      <c r="AC751" s="15"/>
      <c r="AD751" s="15"/>
    </row>
    <row r="752" spans="1:30" s="45" customFormat="1" ht="21.5" thickBot="1">
      <c r="A752" s="59" t="str">
        <f>"IRR - "&amp;A3</f>
        <v>IRR - High Case</v>
      </c>
      <c r="B752" s="45" t="s">
        <v>25</v>
      </c>
      <c r="C752" s="157">
        <f>IRR(D748:AD748,10%)</f>
        <v>0.29999477374974504</v>
      </c>
      <c r="D752" s="44"/>
      <c r="E752" s="44"/>
      <c r="F752" s="44"/>
      <c r="G752" s="44"/>
      <c r="H752" s="44"/>
      <c r="I752" s="44"/>
      <c r="J752" s="44"/>
      <c r="K752" s="44"/>
      <c r="L752" s="44"/>
      <c r="M752" s="44"/>
      <c r="N752" s="44"/>
      <c r="O752" s="44"/>
      <c r="P752" s="44"/>
      <c r="Q752" s="44"/>
      <c r="R752" s="44"/>
      <c r="S752" s="44"/>
      <c r="T752" s="44"/>
      <c r="U752" s="44"/>
      <c r="V752" s="44"/>
      <c r="W752" s="44"/>
      <c r="X752" s="44"/>
      <c r="Y752" s="44"/>
      <c r="Z752" s="44"/>
      <c r="AA752" s="44"/>
      <c r="AB752" s="44"/>
      <c r="AC752" s="44"/>
      <c r="AD752" s="44"/>
    </row>
    <row r="753" spans="1:30" s="45" customFormat="1">
      <c r="A753" s="112"/>
      <c r="C753" s="110"/>
      <c r="D753" s="44"/>
      <c r="E753" s="44"/>
      <c r="F753" s="44"/>
      <c r="G753" s="44"/>
      <c r="H753" s="44"/>
      <c r="I753" s="44"/>
      <c r="J753" s="44"/>
      <c r="K753" s="44"/>
      <c r="L753" s="44"/>
      <c r="M753" s="44"/>
      <c r="N753" s="44"/>
      <c r="O753" s="44"/>
      <c r="P753" s="44"/>
      <c r="Q753" s="44"/>
      <c r="R753" s="44"/>
      <c r="S753" s="44"/>
      <c r="T753" s="44"/>
      <c r="U753" s="44"/>
      <c r="V753" s="44"/>
      <c r="W753" s="44"/>
      <c r="X753" s="44"/>
      <c r="Y753" s="44"/>
      <c r="Z753" s="44"/>
      <c r="AA753" s="44"/>
      <c r="AB753" s="44"/>
      <c r="AC753" s="44"/>
      <c r="AD753" s="44"/>
    </row>
    <row r="754" spans="1:30" ht="15.5">
      <c r="A754" s="97" t="s">
        <v>570</v>
      </c>
      <c r="D754" s="15"/>
      <c r="E754" s="15"/>
      <c r="F754" s="15"/>
      <c r="G754" s="15"/>
      <c r="H754" s="15"/>
      <c r="I754" s="15"/>
      <c r="J754" s="15"/>
      <c r="K754" s="15"/>
      <c r="L754" s="15"/>
      <c r="M754" s="15"/>
      <c r="N754" s="15"/>
      <c r="O754" s="15"/>
      <c r="P754" s="15"/>
      <c r="Q754" s="15"/>
      <c r="R754" s="15"/>
      <c r="S754" s="15"/>
      <c r="T754" s="15"/>
      <c r="U754" s="15"/>
      <c r="V754" s="15"/>
      <c r="W754" s="15"/>
      <c r="X754" s="15"/>
      <c r="Y754" s="15"/>
      <c r="Z754" s="15"/>
      <c r="AA754" s="15"/>
      <c r="AB754" s="15"/>
      <c r="AC754" s="15"/>
      <c r="AD754" s="15"/>
    </row>
    <row r="755" spans="1:30">
      <c r="A755" s="311" t="str">
        <f>'Expected NPV &amp; Common Data'!A$101</f>
        <v>Discount Rate for copper mining in host country</v>
      </c>
      <c r="B755" s="311" t="str">
        <f>'Expected NPV &amp; Common Data'!B$101</f>
        <v>% Real</v>
      </c>
      <c r="C755" s="312">
        <f>'Expected NPV &amp; Common Data'!C$101</f>
        <v>0</v>
      </c>
      <c r="D755" s="313">
        <f>'Expected NPV &amp; Common Data'!D$101</f>
        <v>0.08</v>
      </c>
      <c r="E755" s="313">
        <f>'Expected NPV &amp; Common Data'!E$101</f>
        <v>0.08</v>
      </c>
      <c r="F755" s="313">
        <f>'Expected NPV &amp; Common Data'!F$101</f>
        <v>0.08</v>
      </c>
      <c r="G755" s="313">
        <f>'Expected NPV &amp; Common Data'!G$101</f>
        <v>0.08</v>
      </c>
      <c r="H755" s="313">
        <f>'Expected NPV &amp; Common Data'!H$101</f>
        <v>0.08</v>
      </c>
      <c r="I755" s="313">
        <f>'Expected NPV &amp; Common Data'!I$101</f>
        <v>0.08</v>
      </c>
      <c r="J755" s="313">
        <f>'Expected NPV &amp; Common Data'!J$101</f>
        <v>0.08</v>
      </c>
      <c r="K755" s="313">
        <f>'Expected NPV &amp; Common Data'!K$101</f>
        <v>0.08</v>
      </c>
      <c r="L755" s="313">
        <f>'Expected NPV &amp; Common Data'!L$101</f>
        <v>0.08</v>
      </c>
      <c r="M755" s="313">
        <f>'Expected NPV &amp; Common Data'!M$101</f>
        <v>0.08</v>
      </c>
      <c r="N755" s="313">
        <f>'Expected NPV &amp; Common Data'!N$101</f>
        <v>0.08</v>
      </c>
      <c r="O755" s="313">
        <f>'Expected NPV &amp; Common Data'!O$101</f>
        <v>0.08</v>
      </c>
      <c r="P755" s="313">
        <f>'Expected NPV &amp; Common Data'!P$101</f>
        <v>0.08</v>
      </c>
      <c r="Q755" s="313">
        <f>'Expected NPV &amp; Common Data'!Q$101</f>
        <v>0.08</v>
      </c>
      <c r="R755" s="313">
        <f>'Expected NPV &amp; Common Data'!R$101</f>
        <v>0.08</v>
      </c>
      <c r="S755" s="313">
        <f>'Expected NPV &amp; Common Data'!S$101</f>
        <v>0.08</v>
      </c>
      <c r="T755" s="313">
        <f>'Expected NPV &amp; Common Data'!T$101</f>
        <v>0.08</v>
      </c>
      <c r="U755" s="313">
        <f>'Expected NPV &amp; Common Data'!U$101</f>
        <v>0.08</v>
      </c>
      <c r="V755" s="313">
        <f>'Expected NPV &amp; Common Data'!V$101</f>
        <v>0.08</v>
      </c>
      <c r="W755" s="313">
        <f>'Expected NPV &amp; Common Data'!W$101</f>
        <v>0.08</v>
      </c>
      <c r="X755" s="313">
        <f>'Expected NPV &amp; Common Data'!X$101</f>
        <v>0.08</v>
      </c>
      <c r="Y755" s="313">
        <f>'Expected NPV &amp; Common Data'!Y$101</f>
        <v>0</v>
      </c>
      <c r="Z755" s="313">
        <f>'Expected NPV &amp; Common Data'!Z$101</f>
        <v>0</v>
      </c>
      <c r="AA755" s="313">
        <f>'Expected NPV &amp; Common Data'!AA$101</f>
        <v>0</v>
      </c>
      <c r="AB755" s="313">
        <f>'Expected NPV &amp; Common Data'!AB$101</f>
        <v>0</v>
      </c>
      <c r="AC755" s="313">
        <f>'Expected NPV &amp; Common Data'!AC$101</f>
        <v>0</v>
      </c>
      <c r="AD755" s="313">
        <f>'Expected NPV &amp; Common Data'!AD$101</f>
        <v>0</v>
      </c>
    </row>
    <row r="756" spans="1:30">
      <c r="A756" s="311" t="str">
        <f>'Expected NPV &amp; Common Data'!A$102</f>
        <v>Discount Factor</v>
      </c>
      <c r="B756" s="247" t="str">
        <f>'Expected NPV &amp; Common Data'!B$102</f>
        <v>to Jan 2016</v>
      </c>
      <c r="C756" s="312">
        <f>'Expected NPV &amp; Common Data'!C$102</f>
        <v>0</v>
      </c>
      <c r="D756" s="314">
        <f>'Expected NPV &amp; Common Data'!D$102</f>
        <v>0.96225044864937614</v>
      </c>
      <c r="E756" s="314">
        <f>'Expected NPV &amp; Common Data'!E$102</f>
        <v>0.89097263763831114</v>
      </c>
      <c r="F756" s="314">
        <f>'Expected NPV &amp; Common Data'!F$102</f>
        <v>0.82497466447991763</v>
      </c>
      <c r="G756" s="314">
        <f>'Expected NPV &amp; Common Data'!G$102</f>
        <v>0.76386543007399776</v>
      </c>
      <c r="H756" s="314">
        <f>'Expected NPV &amp; Common Data'!H$102</f>
        <v>0.70728280562407198</v>
      </c>
      <c r="I756" s="314">
        <f>'Expected NPV &amp; Common Data'!I$102</f>
        <v>0.65489148668895547</v>
      </c>
      <c r="J756" s="314">
        <f>'Expected NPV &amp; Common Data'!J$102</f>
        <v>0.60638100619347723</v>
      </c>
      <c r="K756" s="314">
        <f>'Expected NPV &amp; Common Data'!K$102</f>
        <v>0.56146389462359003</v>
      </c>
      <c r="L756" s="314">
        <f>'Expected NPV &amp; Common Data'!L$102</f>
        <v>0.51987397650332412</v>
      </c>
      <c r="M756" s="314">
        <f>'Expected NPV &amp; Common Data'!M$102</f>
        <v>0.48136479305863339</v>
      </c>
      <c r="N756" s="314">
        <f>'Expected NPV &amp; Common Data'!N$102</f>
        <v>0.4457081417209568</v>
      </c>
      <c r="O756" s="314">
        <f>'Expected NPV &amp; Common Data'!O$102</f>
        <v>0.41269272381570071</v>
      </c>
      <c r="P756" s="314">
        <f>'Expected NPV &amp; Common Data'!P$102</f>
        <v>0.38212289242194508</v>
      </c>
      <c r="Q756" s="314">
        <f>'Expected NPV &amp; Common Data'!Q$102</f>
        <v>0.35381749298328247</v>
      </c>
      <c r="R756" s="314">
        <f>'Expected NPV &amp; Common Data'!R$102</f>
        <v>0.32760878979933561</v>
      </c>
      <c r="S756" s="314">
        <f>'Expected NPV &amp; Common Data'!S$102</f>
        <v>0.30334147203642187</v>
      </c>
      <c r="T756" s="314">
        <f>'Expected NPV &amp; Common Data'!T$102</f>
        <v>0.28087173336705729</v>
      </c>
      <c r="U756" s="314">
        <f>'Expected NPV &amp; Common Data'!U$102</f>
        <v>0.26006641978431227</v>
      </c>
      <c r="V756" s="314">
        <f>'Expected NPV &amp; Common Data'!V$102</f>
        <v>0.24080224054102986</v>
      </c>
      <c r="W756" s="314">
        <f>'Expected NPV &amp; Common Data'!W$102</f>
        <v>0.2229650375379906</v>
      </c>
      <c r="X756" s="314">
        <f>'Expected NPV &amp; Common Data'!X$102</f>
        <v>0.20644910883147277</v>
      </c>
      <c r="Y756" s="314">
        <f>'Expected NPV &amp; Common Data'!Y$102</f>
        <v>0</v>
      </c>
      <c r="Z756" s="314">
        <f>'Expected NPV &amp; Common Data'!Z$102</f>
        <v>0</v>
      </c>
      <c r="AA756" s="314">
        <f>'Expected NPV &amp; Common Data'!AA$102</f>
        <v>0</v>
      </c>
      <c r="AB756" s="314">
        <f>'Expected NPV &amp; Common Data'!AB$102</f>
        <v>0</v>
      </c>
      <c r="AC756" s="314">
        <f>'Expected NPV &amp; Common Data'!AC$102</f>
        <v>0</v>
      </c>
      <c r="AD756" s="314">
        <f>'Expected NPV &amp; Common Data'!AD$102</f>
        <v>0</v>
      </c>
    </row>
    <row r="757" spans="1:30" s="73" customFormat="1" ht="13.5" thickBot="1">
      <c r="A757" s="72" t="s">
        <v>136</v>
      </c>
      <c r="B757" s="73" t="s">
        <v>405</v>
      </c>
      <c r="C757" s="74">
        <f>SUM(D757:AD757)</f>
        <v>1173.567255923926</v>
      </c>
      <c r="D757" s="74">
        <f t="shared" ref="D757:AD757" si="321">D748*D756</f>
        <v>-232.78762853725706</v>
      </c>
      <c r="E757" s="74">
        <f t="shared" si="321"/>
        <v>-514.48323987786648</v>
      </c>
      <c r="F757" s="74">
        <f t="shared" si="321"/>
        <v>77.350443501696958</v>
      </c>
      <c r="G757" s="74">
        <f t="shared" si="321"/>
        <v>337.07038725028946</v>
      </c>
      <c r="H757" s="74">
        <f t="shared" si="321"/>
        <v>278.17388672144085</v>
      </c>
      <c r="I757" s="74">
        <f t="shared" si="321"/>
        <v>240.78704848050739</v>
      </c>
      <c r="J757" s="74">
        <f t="shared" si="321"/>
        <v>197.28880579103893</v>
      </c>
      <c r="K757" s="74">
        <f t="shared" si="321"/>
        <v>140.54770500155564</v>
      </c>
      <c r="L757" s="74">
        <f t="shared" si="321"/>
        <v>99.391933995489737</v>
      </c>
      <c r="M757" s="74">
        <f t="shared" si="321"/>
        <v>75.95503271757967</v>
      </c>
      <c r="N757" s="74">
        <f t="shared" si="321"/>
        <v>76.006550857129298</v>
      </c>
      <c r="O757" s="74">
        <f t="shared" si="321"/>
        <v>68.667279722472102</v>
      </c>
      <c r="P757" s="74">
        <f t="shared" si="321"/>
        <v>68.623507353996217</v>
      </c>
      <c r="Q757" s="74">
        <f t="shared" si="321"/>
        <v>55.694045464281501</v>
      </c>
      <c r="R757" s="74">
        <f t="shared" si="321"/>
        <v>50.89500553609895</v>
      </c>
      <c r="S757" s="74">
        <f t="shared" si="321"/>
        <v>59.671193857226683</v>
      </c>
      <c r="T757" s="74">
        <f t="shared" si="321"/>
        <v>94.715298088246087</v>
      </c>
      <c r="U757" s="74">
        <f t="shared" si="321"/>
        <v>0</v>
      </c>
      <c r="V757" s="74">
        <f t="shared" si="321"/>
        <v>0</v>
      </c>
      <c r="W757" s="74">
        <f t="shared" si="321"/>
        <v>0</v>
      </c>
      <c r="X757" s="74">
        <f t="shared" si="321"/>
        <v>0</v>
      </c>
      <c r="Y757" s="74">
        <f t="shared" si="321"/>
        <v>0</v>
      </c>
      <c r="Z757" s="74">
        <f t="shared" si="321"/>
        <v>0</v>
      </c>
      <c r="AA757" s="74">
        <f t="shared" si="321"/>
        <v>0</v>
      </c>
      <c r="AB757" s="74">
        <f t="shared" si="321"/>
        <v>0</v>
      </c>
      <c r="AC757" s="74">
        <f t="shared" si="321"/>
        <v>0</v>
      </c>
      <c r="AD757" s="74">
        <f t="shared" si="321"/>
        <v>0</v>
      </c>
    </row>
    <row r="758" spans="1:30" s="73" customFormat="1" ht="13.5" thickBot="1">
      <c r="A758" s="72" t="s">
        <v>137</v>
      </c>
      <c r="B758" s="73" t="s">
        <v>405</v>
      </c>
      <c r="C758" s="74"/>
      <c r="D758" s="156">
        <f>D757</f>
        <v>-232.78762853725706</v>
      </c>
      <c r="E758" s="74">
        <f t="shared" ref="E758:AD758" si="322">D758+E757</f>
        <v>-747.27086841512357</v>
      </c>
      <c r="F758" s="74">
        <f t="shared" si="322"/>
        <v>-669.92042491342659</v>
      </c>
      <c r="G758" s="74">
        <f t="shared" si="322"/>
        <v>-332.85003766313713</v>
      </c>
      <c r="H758" s="74">
        <f t="shared" si="322"/>
        <v>-54.676150941696278</v>
      </c>
      <c r="I758" s="74">
        <f t="shared" si="322"/>
        <v>186.11089753881112</v>
      </c>
      <c r="J758" s="74">
        <f t="shared" si="322"/>
        <v>383.39970332985001</v>
      </c>
      <c r="K758" s="74">
        <f t="shared" si="322"/>
        <v>523.94740833140565</v>
      </c>
      <c r="L758" s="74">
        <f t="shared" si="322"/>
        <v>623.33934232689535</v>
      </c>
      <c r="M758" s="74">
        <f t="shared" si="322"/>
        <v>699.29437504447503</v>
      </c>
      <c r="N758" s="74">
        <f t="shared" si="322"/>
        <v>775.30092590160439</v>
      </c>
      <c r="O758" s="74">
        <f t="shared" si="322"/>
        <v>843.96820562407652</v>
      </c>
      <c r="P758" s="74">
        <f t="shared" si="322"/>
        <v>912.59171297807279</v>
      </c>
      <c r="Q758" s="74">
        <f t="shared" si="322"/>
        <v>968.28575844235434</v>
      </c>
      <c r="R758" s="74">
        <f t="shared" si="322"/>
        <v>1019.1807639784533</v>
      </c>
      <c r="S758" s="74">
        <f t="shared" si="322"/>
        <v>1078.85195783568</v>
      </c>
      <c r="T758" s="74">
        <f t="shared" si="322"/>
        <v>1173.567255923926</v>
      </c>
      <c r="U758" s="74">
        <f t="shared" si="322"/>
        <v>1173.567255923926</v>
      </c>
      <c r="V758" s="74">
        <f t="shared" si="322"/>
        <v>1173.567255923926</v>
      </c>
      <c r="W758" s="74">
        <f t="shared" si="322"/>
        <v>1173.567255923926</v>
      </c>
      <c r="X758" s="74">
        <f t="shared" si="322"/>
        <v>1173.567255923926</v>
      </c>
      <c r="Y758" s="74">
        <f t="shared" si="322"/>
        <v>1173.567255923926</v>
      </c>
      <c r="Z758" s="74">
        <f t="shared" si="322"/>
        <v>1173.567255923926</v>
      </c>
      <c r="AA758" s="74">
        <f t="shared" si="322"/>
        <v>1173.567255923926</v>
      </c>
      <c r="AB758" s="74">
        <f t="shared" si="322"/>
        <v>1173.567255923926</v>
      </c>
      <c r="AC758" s="74">
        <f t="shared" si="322"/>
        <v>1173.567255923926</v>
      </c>
      <c r="AD758" s="74">
        <f t="shared" si="322"/>
        <v>1173.567255923926</v>
      </c>
    </row>
    <row r="759" spans="1:30" s="73" customFormat="1" ht="21.5" thickBot="1">
      <c r="A759" s="72" t="str">
        <f>"NPV - "&amp;A3</f>
        <v>NPV - High Case</v>
      </c>
      <c r="B759" s="73" t="s">
        <v>405</v>
      </c>
      <c r="C759" s="84">
        <f>SUM(D757:AD757)</f>
        <v>1173.567255923926</v>
      </c>
      <c r="D759" s="74"/>
      <c r="E759" s="74"/>
      <c r="F759" s="74"/>
      <c r="G759" s="74"/>
      <c r="H759" s="74"/>
      <c r="I759" s="74"/>
      <c r="J759" s="74"/>
      <c r="K759" s="74"/>
      <c r="L759" s="74"/>
      <c r="M759" s="74"/>
      <c r="N759" s="74"/>
      <c r="O759" s="74"/>
      <c r="P759" s="74"/>
      <c r="Q759" s="74"/>
      <c r="R759" s="74"/>
      <c r="S759" s="74"/>
      <c r="T759" s="74"/>
      <c r="U759" s="74"/>
      <c r="V759" s="74"/>
      <c r="W759" s="74"/>
      <c r="X759" s="74"/>
      <c r="Y759" s="74"/>
      <c r="Z759" s="74"/>
      <c r="AA759" s="74"/>
      <c r="AB759" s="74"/>
      <c r="AC759" s="74"/>
      <c r="AD759" s="74"/>
    </row>
    <row r="760" spans="1:30" s="73" customFormat="1">
      <c r="A760" s="112"/>
      <c r="C760" s="111"/>
      <c r="D760" s="111"/>
      <c r="E760" s="111"/>
      <c r="F760" s="111"/>
      <c r="G760" s="111"/>
      <c r="H760" s="111"/>
      <c r="I760" s="111"/>
      <c r="J760" s="111"/>
      <c r="K760" s="111"/>
      <c r="L760" s="111"/>
      <c r="M760" s="111"/>
      <c r="N760" s="111"/>
      <c r="O760" s="111"/>
      <c r="P760" s="111"/>
      <c r="Q760" s="111"/>
      <c r="R760" s="111"/>
      <c r="S760" s="111"/>
      <c r="T760" s="111"/>
      <c r="U760" s="111"/>
      <c r="V760" s="111"/>
      <c r="W760" s="111"/>
      <c r="X760" s="111"/>
      <c r="Y760" s="111"/>
      <c r="Z760" s="111"/>
      <c r="AA760" s="111"/>
      <c r="AB760" s="111"/>
      <c r="AC760" s="111"/>
      <c r="AD760" s="111"/>
    </row>
    <row r="761" spans="1:30" ht="14" customHeight="1">
      <c r="A761" s="282" t="s">
        <v>601</v>
      </c>
    </row>
    <row r="762" spans="1:30" ht="114" customHeight="1"/>
    <row r="763" spans="1:30" ht="45" customHeight="1">
      <c r="A763" s="23" t="s">
        <v>18</v>
      </c>
    </row>
    <row r="764" spans="1:30">
      <c r="A764" s="315" t="str">
        <f>'Expected NPV &amp; Common Data'!A$36</f>
        <v>Calendar Year --&gt;</v>
      </c>
      <c r="B764" s="316" t="str">
        <f>'Expected NPV &amp; Common Data'!B$36</f>
        <v>units</v>
      </c>
      <c r="C764" s="317" t="str">
        <f>'Expected NPV &amp; Common Data'!C$36</f>
        <v>Total</v>
      </c>
      <c r="D764" s="318">
        <f>'Expected NPV &amp; Common Data'!D$36</f>
        <v>2027</v>
      </c>
      <c r="E764" s="318">
        <f>'Expected NPV &amp; Common Data'!E$36</f>
        <v>2028</v>
      </c>
      <c r="F764" s="318">
        <f>'Expected NPV &amp; Common Data'!F$36</f>
        <v>2029</v>
      </c>
      <c r="G764" s="318">
        <f>'Expected NPV &amp; Common Data'!G$36</f>
        <v>2030</v>
      </c>
      <c r="H764" s="318">
        <f>'Expected NPV &amp; Common Data'!H$36</f>
        <v>2031</v>
      </c>
      <c r="I764" s="318">
        <f>'Expected NPV &amp; Common Data'!I$36</f>
        <v>2032</v>
      </c>
      <c r="J764" s="318">
        <f>'Expected NPV &amp; Common Data'!J$36</f>
        <v>2033</v>
      </c>
      <c r="K764" s="318">
        <f>'Expected NPV &amp; Common Data'!K$36</f>
        <v>2034</v>
      </c>
      <c r="L764" s="318">
        <f>'Expected NPV &amp; Common Data'!L$36</f>
        <v>2035</v>
      </c>
      <c r="M764" s="318">
        <f>'Expected NPV &amp; Common Data'!M$36</f>
        <v>2036</v>
      </c>
      <c r="N764" s="318">
        <f>'Expected NPV &amp; Common Data'!N$36</f>
        <v>2037</v>
      </c>
      <c r="O764" s="318">
        <f>'Expected NPV &amp; Common Data'!O$36</f>
        <v>2038</v>
      </c>
      <c r="P764" s="318">
        <f>'Expected NPV &amp; Common Data'!P$36</f>
        <v>2039</v>
      </c>
      <c r="Q764" s="318">
        <f>'Expected NPV &amp; Common Data'!Q$36</f>
        <v>2040</v>
      </c>
      <c r="R764" s="318">
        <f>'Expected NPV &amp; Common Data'!R$36</f>
        <v>2041</v>
      </c>
      <c r="S764" s="318">
        <f>'Expected NPV &amp; Common Data'!S$36</f>
        <v>2042</v>
      </c>
      <c r="T764" s="318">
        <f>'Expected NPV &amp; Common Data'!T$36</f>
        <v>2043</v>
      </c>
      <c r="U764" s="318">
        <f>'Expected NPV &amp; Common Data'!U$36</f>
        <v>2044</v>
      </c>
      <c r="V764" s="318">
        <f>'Expected NPV &amp; Common Data'!V$36</f>
        <v>2045</v>
      </c>
      <c r="W764" s="318">
        <f>'Expected NPV &amp; Common Data'!W$36</f>
        <v>2046</v>
      </c>
      <c r="X764" s="318">
        <f>'Expected NPV &amp; Common Data'!X$36</f>
        <v>2047</v>
      </c>
      <c r="Y764" s="318">
        <f>'Expected NPV &amp; Common Data'!Y$36</f>
        <v>2048</v>
      </c>
      <c r="Z764" s="318">
        <f>'Expected NPV &amp; Common Data'!Z$36</f>
        <v>2049</v>
      </c>
      <c r="AA764" s="318">
        <f>'Expected NPV &amp; Common Data'!AA$36</f>
        <v>2050</v>
      </c>
      <c r="AB764" s="318">
        <f>'Expected NPV &amp; Common Data'!AB$36</f>
        <v>2051</v>
      </c>
      <c r="AC764" s="318">
        <f>'Expected NPV &amp; Common Data'!AC$36</f>
        <v>2052</v>
      </c>
      <c r="AD764" s="318">
        <f>'Expected NPV &amp; Common Data'!AD$36</f>
        <v>2053</v>
      </c>
    </row>
    <row r="765" spans="1:30">
      <c r="A765" s="45" t="str">
        <f>A311</f>
        <v>Cashstream 1: Revenue - High Case</v>
      </c>
      <c r="D765" s="75">
        <f t="shared" ref="D765:AD765" si="323">D311</f>
        <v>0</v>
      </c>
      <c r="E765" s="75">
        <f t="shared" si="323"/>
        <v>0</v>
      </c>
      <c r="F765" s="75">
        <f t="shared" si="323"/>
        <v>466.69688919049167</v>
      </c>
      <c r="G765" s="75">
        <f t="shared" si="323"/>
        <v>882.3708635567175</v>
      </c>
      <c r="H765" s="75">
        <f t="shared" si="323"/>
        <v>976.40852663075941</v>
      </c>
      <c r="I765" s="75">
        <f t="shared" si="323"/>
        <v>981.83143875469102</v>
      </c>
      <c r="J765" s="75">
        <f t="shared" si="323"/>
        <v>1013.6516811994971</v>
      </c>
      <c r="K765" s="75">
        <f t="shared" si="323"/>
        <v>900.29771253107015</v>
      </c>
      <c r="L765" s="75">
        <f t="shared" si="323"/>
        <v>830.71201988281132</v>
      </c>
      <c r="M765" s="75">
        <f t="shared" si="323"/>
        <v>816.57419980685347</v>
      </c>
      <c r="N765" s="75">
        <f t="shared" si="323"/>
        <v>815.78272173121297</v>
      </c>
      <c r="O765" s="75">
        <f t="shared" si="323"/>
        <v>815.78272173121297</v>
      </c>
      <c r="P765" s="75">
        <f t="shared" si="323"/>
        <v>840.33865763016559</v>
      </c>
      <c r="Q765" s="75">
        <f t="shared" si="323"/>
        <v>732.55236879211225</v>
      </c>
      <c r="R765" s="75">
        <f t="shared" si="323"/>
        <v>718.36617670056739</v>
      </c>
      <c r="S765" s="75">
        <f t="shared" si="323"/>
        <v>717.97781015627129</v>
      </c>
      <c r="T765" s="75">
        <f t="shared" si="323"/>
        <v>984.09866866256061</v>
      </c>
      <c r="U765" s="75">
        <f t="shared" si="323"/>
        <v>0</v>
      </c>
      <c r="V765" s="75">
        <f t="shared" si="323"/>
        <v>0</v>
      </c>
      <c r="W765" s="75">
        <f t="shared" si="323"/>
        <v>0</v>
      </c>
      <c r="X765" s="75">
        <f t="shared" si="323"/>
        <v>0</v>
      </c>
      <c r="Y765" s="75">
        <f t="shared" si="323"/>
        <v>0</v>
      </c>
      <c r="Z765" s="75">
        <f t="shared" si="323"/>
        <v>0</v>
      </c>
      <c r="AA765" s="75">
        <f t="shared" si="323"/>
        <v>0</v>
      </c>
      <c r="AB765" s="75">
        <f t="shared" si="323"/>
        <v>0</v>
      </c>
      <c r="AC765" s="75">
        <f t="shared" si="323"/>
        <v>0</v>
      </c>
      <c r="AD765" s="75">
        <f t="shared" si="323"/>
        <v>0</v>
      </c>
    </row>
    <row r="766" spans="1:30">
      <c r="A766" s="45" t="str">
        <f>A359</f>
        <v>Cashstream 2: Capital Costs - High Case</v>
      </c>
      <c r="D766" s="75">
        <f t="shared" ref="D766:AD766" si="324">-D359</f>
        <v>-238.5</v>
      </c>
      <c r="E766" s="75">
        <f t="shared" si="324"/>
        <v>-450</v>
      </c>
      <c r="F766" s="75">
        <f t="shared" si="324"/>
        <v>-79.056000000000012</v>
      </c>
      <c r="G766" s="75">
        <f t="shared" si="324"/>
        <v>-22.356000000000002</v>
      </c>
      <c r="H766" s="75">
        <f t="shared" si="324"/>
        <v>-22.356000000000002</v>
      </c>
      <c r="I766" s="75">
        <f t="shared" si="324"/>
        <v>-44.856000000000002</v>
      </c>
      <c r="J766" s="75">
        <f t="shared" si="324"/>
        <v>-22.356000000000002</v>
      </c>
      <c r="K766" s="75">
        <f t="shared" si="324"/>
        <v>-22.356000000000002</v>
      </c>
      <c r="L766" s="75">
        <f t="shared" si="324"/>
        <v>-22.356000000000002</v>
      </c>
      <c r="M766" s="75">
        <f t="shared" si="324"/>
        <v>-40.356000000000002</v>
      </c>
      <c r="N766" s="75">
        <f t="shared" si="324"/>
        <v>-22.356000000000002</v>
      </c>
      <c r="O766" s="75">
        <f t="shared" si="324"/>
        <v>-22.356000000000002</v>
      </c>
      <c r="P766" s="75">
        <f t="shared" si="324"/>
        <v>-22.356000000000002</v>
      </c>
      <c r="Q766" s="75">
        <f t="shared" si="324"/>
        <v>-35.856000000000002</v>
      </c>
      <c r="R766" s="75">
        <f t="shared" si="324"/>
        <v>-22.356000000000002</v>
      </c>
      <c r="S766" s="75">
        <f t="shared" si="324"/>
        <v>-22.356000000000002</v>
      </c>
      <c r="T766" s="75">
        <f t="shared" si="324"/>
        <v>-22.356000000000002</v>
      </c>
      <c r="U766" s="75">
        <f t="shared" si="324"/>
        <v>0</v>
      </c>
      <c r="V766" s="75">
        <f t="shared" si="324"/>
        <v>0</v>
      </c>
      <c r="W766" s="75">
        <f t="shared" si="324"/>
        <v>0</v>
      </c>
      <c r="X766" s="75">
        <f t="shared" si="324"/>
        <v>0</v>
      </c>
      <c r="Y766" s="75">
        <f t="shared" si="324"/>
        <v>0</v>
      </c>
      <c r="Z766" s="75">
        <f t="shared" si="324"/>
        <v>0</v>
      </c>
      <c r="AA766" s="75">
        <f t="shared" si="324"/>
        <v>0</v>
      </c>
      <c r="AB766" s="75">
        <f t="shared" si="324"/>
        <v>0</v>
      </c>
      <c r="AC766" s="75">
        <f t="shared" si="324"/>
        <v>0</v>
      </c>
      <c r="AD766" s="75">
        <f t="shared" si="324"/>
        <v>0</v>
      </c>
    </row>
    <row r="767" spans="1:30">
      <c r="A767" s="45" t="str">
        <f>A649</f>
        <v>Cashstream 3: Operating Costs - High Case</v>
      </c>
      <c r="C767" s="75">
        <f>SUM(D767:AD767)</f>
        <v>-6571.9144284554895</v>
      </c>
      <c r="D767" s="75">
        <f t="shared" ref="D767:AD767" si="325">-D649</f>
        <v>-3.42</v>
      </c>
      <c r="E767" s="75">
        <f t="shared" si="325"/>
        <v>-127.44000000000003</v>
      </c>
      <c r="F767" s="75">
        <f t="shared" si="325"/>
        <v>-250.93580605459056</v>
      </c>
      <c r="G767" s="75">
        <f t="shared" si="325"/>
        <v>-290.66619849274497</v>
      </c>
      <c r="H767" s="75">
        <f t="shared" si="325"/>
        <v>-373.30840250885632</v>
      </c>
      <c r="I767" s="75">
        <f t="shared" si="325"/>
        <v>-376.45497385476597</v>
      </c>
      <c r="J767" s="75">
        <f t="shared" si="325"/>
        <v>-484.3793056230092</v>
      </c>
      <c r="K767" s="75">
        <f t="shared" si="325"/>
        <v>-480.38422241584703</v>
      </c>
      <c r="L767" s="75">
        <f t="shared" si="325"/>
        <v>-488.56826392936637</v>
      </c>
      <c r="M767" s="75">
        <f t="shared" si="325"/>
        <v>-493.06087586250243</v>
      </c>
      <c r="N767" s="75">
        <f t="shared" si="325"/>
        <v>-497.55427616482251</v>
      </c>
      <c r="O767" s="75">
        <f t="shared" si="325"/>
        <v>-502.0485104701657</v>
      </c>
      <c r="P767" s="75">
        <f t="shared" si="325"/>
        <v>-506.10797766464987</v>
      </c>
      <c r="Q767" s="75">
        <f t="shared" si="325"/>
        <v>-421.12096527945818</v>
      </c>
      <c r="R767" s="75">
        <f t="shared" si="325"/>
        <v>-424.41560375811559</v>
      </c>
      <c r="S767" s="75">
        <f t="shared" si="325"/>
        <v>-368.33847387311624</v>
      </c>
      <c r="T767" s="75">
        <f t="shared" si="325"/>
        <v>-483.71057250347832</v>
      </c>
      <c r="U767" s="75">
        <f t="shared" si="325"/>
        <v>0</v>
      </c>
      <c r="V767" s="75">
        <f t="shared" si="325"/>
        <v>0</v>
      </c>
      <c r="W767" s="75">
        <f t="shared" si="325"/>
        <v>0</v>
      </c>
      <c r="X767" s="75">
        <f t="shared" si="325"/>
        <v>0</v>
      </c>
      <c r="Y767" s="75">
        <f t="shared" si="325"/>
        <v>0</v>
      </c>
      <c r="Z767" s="75">
        <f t="shared" si="325"/>
        <v>0</v>
      </c>
      <c r="AA767" s="75">
        <f t="shared" si="325"/>
        <v>0</v>
      </c>
      <c r="AB767" s="75">
        <f t="shared" si="325"/>
        <v>0</v>
      </c>
      <c r="AC767" s="75">
        <f t="shared" si="325"/>
        <v>0</v>
      </c>
      <c r="AD767" s="75">
        <f t="shared" si="325"/>
        <v>0</v>
      </c>
    </row>
    <row r="768" spans="1:30">
      <c r="A768" s="45" t="str">
        <f>A739</f>
        <v>Cashstream 4: Taxes - High Case</v>
      </c>
      <c r="D768" s="75">
        <f t="shared" ref="D768:AD768" si="326">-D739</f>
        <v>0</v>
      </c>
      <c r="E768" s="75">
        <f t="shared" si="326"/>
        <v>0</v>
      </c>
      <c r="F768" s="75">
        <f t="shared" si="326"/>
        <v>-42.944090426554794</v>
      </c>
      <c r="G768" s="75">
        <f t="shared" si="326"/>
        <v>-128.07933413268987</v>
      </c>
      <c r="H768" s="75">
        <f t="shared" si="326"/>
        <v>-187.44474725384279</v>
      </c>
      <c r="I768" s="75">
        <f t="shared" si="326"/>
        <v>-192.84573805640659</v>
      </c>
      <c r="J768" s="75">
        <f t="shared" si="326"/>
        <v>-181.56184801714312</v>
      </c>
      <c r="K768" s="75">
        <f t="shared" si="326"/>
        <v>-147.2338159709044</v>
      </c>
      <c r="L768" s="75">
        <f t="shared" si="326"/>
        <v>-128.6030871919875</v>
      </c>
      <c r="M768" s="75">
        <f t="shared" si="326"/>
        <v>-125.36632258142454</v>
      </c>
      <c r="N768" s="75">
        <f t="shared" si="326"/>
        <v>-125.34257693160457</v>
      </c>
      <c r="O768" s="75">
        <f t="shared" si="326"/>
        <v>-124.98981679752539</v>
      </c>
      <c r="P768" s="75">
        <f t="shared" si="326"/>
        <v>-132.28976444514109</v>
      </c>
      <c r="Q768" s="75">
        <f t="shared" si="326"/>
        <v>-118.16643824446992</v>
      </c>
      <c r="R768" s="75">
        <f t="shared" si="326"/>
        <v>-116.24158144526774</v>
      </c>
      <c r="S768" s="75">
        <f t="shared" si="326"/>
        <v>-130.57039275902648</v>
      </c>
      <c r="T768" s="75">
        <f t="shared" si="326"/>
        <v>-140.81304975377034</v>
      </c>
      <c r="U768" s="75">
        <f t="shared" si="326"/>
        <v>0</v>
      </c>
      <c r="V768" s="75">
        <f t="shared" si="326"/>
        <v>0</v>
      </c>
      <c r="W768" s="75">
        <f t="shared" si="326"/>
        <v>0</v>
      </c>
      <c r="X768" s="75">
        <f t="shared" si="326"/>
        <v>0</v>
      </c>
      <c r="Y768" s="75">
        <f t="shared" si="326"/>
        <v>0</v>
      </c>
      <c r="Z768" s="75">
        <f t="shared" si="326"/>
        <v>0</v>
      </c>
      <c r="AA768" s="75">
        <f t="shared" si="326"/>
        <v>0</v>
      </c>
      <c r="AB768" s="75">
        <f t="shared" si="326"/>
        <v>0</v>
      </c>
      <c r="AC768" s="75">
        <f t="shared" si="326"/>
        <v>0</v>
      </c>
      <c r="AD768" s="75">
        <f t="shared" si="326"/>
        <v>0</v>
      </c>
    </row>
    <row r="769" spans="1:30">
      <c r="A769" s="13" t="s">
        <v>19</v>
      </c>
      <c r="D769" s="75">
        <f t="shared" ref="D769:AD769" si="327">IF(SUM(D765:D768)&gt;0,SUM(D765:D768),0)</f>
        <v>0</v>
      </c>
      <c r="E769" s="75">
        <f t="shared" si="327"/>
        <v>0</v>
      </c>
      <c r="F769" s="75">
        <f t="shared" si="327"/>
        <v>93.760992709346283</v>
      </c>
      <c r="G769" s="75">
        <f t="shared" si="327"/>
        <v>441.26933093128264</v>
      </c>
      <c r="H769" s="75">
        <f t="shared" si="327"/>
        <v>393.29937686806022</v>
      </c>
      <c r="I769" s="75">
        <f t="shared" si="327"/>
        <v>367.67472684351844</v>
      </c>
      <c r="J769" s="75">
        <f t="shared" si="327"/>
        <v>325.35452755934483</v>
      </c>
      <c r="K769" s="75">
        <f t="shared" si="327"/>
        <v>250.32367414431872</v>
      </c>
      <c r="L769" s="75">
        <f t="shared" si="327"/>
        <v>191.18466876145746</v>
      </c>
      <c r="M769" s="75">
        <f t="shared" si="327"/>
        <v>157.79100136292652</v>
      </c>
      <c r="N769" s="75">
        <f t="shared" si="327"/>
        <v>170.52986863478588</v>
      </c>
      <c r="O769" s="75">
        <f t="shared" si="327"/>
        <v>166.38839446352188</v>
      </c>
      <c r="P769" s="75">
        <f t="shared" si="327"/>
        <v>179.58491552037464</v>
      </c>
      <c r="Q769" s="75">
        <f t="shared" si="327"/>
        <v>157.40896526818415</v>
      </c>
      <c r="R769" s="75">
        <f t="shared" si="327"/>
        <v>155.35299149718406</v>
      </c>
      <c r="S769" s="75">
        <f t="shared" si="327"/>
        <v>196.71294352412858</v>
      </c>
      <c r="T769" s="75">
        <f t="shared" si="327"/>
        <v>337.21904640531193</v>
      </c>
      <c r="U769" s="75">
        <f t="shared" si="327"/>
        <v>0</v>
      </c>
      <c r="V769" s="75">
        <f t="shared" si="327"/>
        <v>0</v>
      </c>
      <c r="W769" s="75">
        <f t="shared" si="327"/>
        <v>0</v>
      </c>
      <c r="X769" s="75">
        <f t="shared" si="327"/>
        <v>0</v>
      </c>
      <c r="Y769" s="75">
        <f t="shared" si="327"/>
        <v>0</v>
      </c>
      <c r="Z769" s="75">
        <f t="shared" si="327"/>
        <v>0</v>
      </c>
      <c r="AA769" s="75">
        <f t="shared" si="327"/>
        <v>0</v>
      </c>
      <c r="AB769" s="75">
        <f t="shared" si="327"/>
        <v>0</v>
      </c>
      <c r="AC769" s="75">
        <f t="shared" si="327"/>
        <v>0</v>
      </c>
      <c r="AD769" s="75">
        <f t="shared" si="327"/>
        <v>0</v>
      </c>
    </row>
    <row r="770" spans="1:30">
      <c r="A770" s="13" t="s">
        <v>20</v>
      </c>
      <c r="D770" s="75">
        <f t="shared" ref="D770:AD770" si="328">IF(SUM(D765:D768)&lt;0,-SUM(D765:D768),0)</f>
        <v>241.92</v>
      </c>
      <c r="E770" s="75">
        <f t="shared" si="328"/>
        <v>577.44000000000005</v>
      </c>
      <c r="F770" s="75">
        <f t="shared" si="328"/>
        <v>0</v>
      </c>
      <c r="G770" s="75">
        <f t="shared" si="328"/>
        <v>0</v>
      </c>
      <c r="H770" s="75">
        <f t="shared" si="328"/>
        <v>0</v>
      </c>
      <c r="I770" s="75">
        <f t="shared" si="328"/>
        <v>0</v>
      </c>
      <c r="J770" s="75">
        <f t="shared" si="328"/>
        <v>0</v>
      </c>
      <c r="K770" s="75">
        <f t="shared" si="328"/>
        <v>0</v>
      </c>
      <c r="L770" s="75">
        <f t="shared" si="328"/>
        <v>0</v>
      </c>
      <c r="M770" s="75">
        <f t="shared" si="328"/>
        <v>0</v>
      </c>
      <c r="N770" s="75">
        <f t="shared" si="328"/>
        <v>0</v>
      </c>
      <c r="O770" s="75">
        <f t="shared" si="328"/>
        <v>0</v>
      </c>
      <c r="P770" s="75">
        <f t="shared" si="328"/>
        <v>0</v>
      </c>
      <c r="Q770" s="75">
        <f t="shared" si="328"/>
        <v>0</v>
      </c>
      <c r="R770" s="75">
        <f t="shared" si="328"/>
        <v>0</v>
      </c>
      <c r="S770" s="75">
        <f t="shared" si="328"/>
        <v>0</v>
      </c>
      <c r="T770" s="75">
        <f t="shared" si="328"/>
        <v>0</v>
      </c>
      <c r="U770" s="75">
        <f t="shared" si="328"/>
        <v>0</v>
      </c>
      <c r="V770" s="75">
        <f t="shared" si="328"/>
        <v>0</v>
      </c>
      <c r="W770" s="75">
        <f t="shared" si="328"/>
        <v>0</v>
      </c>
      <c r="X770" s="75">
        <f t="shared" si="328"/>
        <v>0</v>
      </c>
      <c r="Y770" s="75">
        <f t="shared" si="328"/>
        <v>0</v>
      </c>
      <c r="Z770" s="75">
        <f t="shared" si="328"/>
        <v>0</v>
      </c>
      <c r="AA770" s="75">
        <f t="shared" si="328"/>
        <v>0</v>
      </c>
      <c r="AB770" s="75">
        <f t="shared" si="328"/>
        <v>0</v>
      </c>
      <c r="AC770" s="75">
        <f t="shared" si="328"/>
        <v>0</v>
      </c>
      <c r="AD770" s="75">
        <f t="shared" si="328"/>
        <v>0</v>
      </c>
    </row>
    <row r="771" spans="1:30">
      <c r="A771" s="13" t="s">
        <v>22</v>
      </c>
      <c r="D771" s="75">
        <f t="shared" ref="D771:AD771" si="329">D769-D770</f>
        <v>-241.92</v>
      </c>
      <c r="E771" s="75">
        <f t="shared" si="329"/>
        <v>-577.44000000000005</v>
      </c>
      <c r="F771" s="75">
        <f t="shared" si="329"/>
        <v>93.760992709346283</v>
      </c>
      <c r="G771" s="75">
        <f t="shared" si="329"/>
        <v>441.26933093128264</v>
      </c>
      <c r="H771" s="75">
        <f t="shared" si="329"/>
        <v>393.29937686806022</v>
      </c>
      <c r="I771" s="75">
        <f t="shared" si="329"/>
        <v>367.67472684351844</v>
      </c>
      <c r="J771" s="75">
        <f t="shared" si="329"/>
        <v>325.35452755934483</v>
      </c>
      <c r="K771" s="75">
        <f t="shared" si="329"/>
        <v>250.32367414431872</v>
      </c>
      <c r="L771" s="75">
        <f t="shared" si="329"/>
        <v>191.18466876145746</v>
      </c>
      <c r="M771" s="75">
        <f t="shared" si="329"/>
        <v>157.79100136292652</v>
      </c>
      <c r="N771" s="75">
        <f t="shared" si="329"/>
        <v>170.52986863478588</v>
      </c>
      <c r="O771" s="75">
        <f t="shared" si="329"/>
        <v>166.38839446352188</v>
      </c>
      <c r="P771" s="75">
        <f t="shared" si="329"/>
        <v>179.58491552037464</v>
      </c>
      <c r="Q771" s="75">
        <f t="shared" si="329"/>
        <v>157.40896526818415</v>
      </c>
      <c r="R771" s="75">
        <f t="shared" si="329"/>
        <v>155.35299149718406</v>
      </c>
      <c r="S771" s="75">
        <f t="shared" si="329"/>
        <v>196.71294352412858</v>
      </c>
      <c r="T771" s="75">
        <f t="shared" si="329"/>
        <v>337.21904640531193</v>
      </c>
      <c r="U771" s="75">
        <f t="shared" si="329"/>
        <v>0</v>
      </c>
      <c r="V771" s="75">
        <f t="shared" si="329"/>
        <v>0</v>
      </c>
      <c r="W771" s="75">
        <f t="shared" si="329"/>
        <v>0</v>
      </c>
      <c r="X771" s="75">
        <f t="shared" si="329"/>
        <v>0</v>
      </c>
      <c r="Y771" s="75">
        <f t="shared" si="329"/>
        <v>0</v>
      </c>
      <c r="Z771" s="75">
        <f t="shared" si="329"/>
        <v>0</v>
      </c>
      <c r="AA771" s="75">
        <f t="shared" si="329"/>
        <v>0</v>
      </c>
      <c r="AB771" s="75">
        <f t="shared" si="329"/>
        <v>0</v>
      </c>
      <c r="AC771" s="75">
        <f t="shared" si="329"/>
        <v>0</v>
      </c>
      <c r="AD771" s="75">
        <f t="shared" si="329"/>
        <v>0</v>
      </c>
    </row>
    <row r="772" spans="1:30">
      <c r="A772" s="76"/>
      <c r="B772" s="76"/>
      <c r="C772" s="77"/>
      <c r="D772" s="78"/>
      <c r="E772" s="78"/>
      <c r="F772" s="77"/>
      <c r="G772" s="77"/>
      <c r="H772" s="77"/>
      <c r="I772" s="77"/>
      <c r="J772" s="77"/>
      <c r="K772" s="77"/>
      <c r="L772" s="77"/>
      <c r="M772" s="77"/>
      <c r="N772" s="77"/>
      <c r="O772" s="77"/>
      <c r="P772" s="77"/>
      <c r="Q772" s="77"/>
      <c r="R772" s="77"/>
      <c r="S772" s="77"/>
      <c r="T772" s="77"/>
      <c r="U772" s="77"/>
      <c r="V772" s="77"/>
      <c r="W772" s="77"/>
      <c r="X772" s="77"/>
      <c r="Y772" s="77"/>
      <c r="Z772" s="77"/>
      <c r="AA772" s="77"/>
      <c r="AB772" s="77"/>
      <c r="AC772" s="77"/>
      <c r="AD772" s="77"/>
    </row>
  </sheetData>
  <pageMargins left="0.70866141732283472" right="0.70866141732283472" top="0.74803149606299213" bottom="0.74803149606299213" header="0.31496062992125984" footer="0.31496062992125984"/>
  <pageSetup paperSize="9" scale="2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Intro &amp; log of testing</vt:lpstr>
      <vt:lpstr>Expected NPV &amp; Common Data</vt:lpstr>
      <vt:lpstr>Mid Case</vt:lpstr>
      <vt:lpstr>Low Case</vt:lpstr>
      <vt:lpstr>High Case</vt:lpstr>
      <vt:lpstr>'High Case'!Print_Area</vt:lpstr>
      <vt:lpstr>'Intro &amp; log of testing'!Print_Area</vt:lpstr>
      <vt:lpstr>'Low Case'!Print_Area</vt:lpstr>
      <vt:lpstr>'Mid Case'!Print_Area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mpcard</dc:creator>
  <cp:lastModifiedBy>Peter and Margie Card</cp:lastModifiedBy>
  <cp:lastPrinted>2011-08-03T11:26:27Z</cp:lastPrinted>
  <dcterms:created xsi:type="dcterms:W3CDTF">2009-07-21T00:07:29Z</dcterms:created>
  <dcterms:modified xsi:type="dcterms:W3CDTF">2023-09-10T06:16:47Z</dcterms:modified>
</cp:coreProperties>
</file>